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5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6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7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8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aisinsa.sharepoint.com/sites/RaisinSA/Shared Documents/2026/3. Market Intelligence and Access/3. MA/1. Intelligence/6. Weekly Intakes/"/>
    </mc:Choice>
  </mc:AlternateContent>
  <xr:revisionPtr revIDLastSave="2179" documentId="8_{624CB44F-547F-4F75-BABA-84F1C73E0C81}" xr6:coauthVersionLast="47" xr6:coauthVersionMax="47" xr10:uidLastSave="{C0871152-F840-4F01-A435-970CBE782E34}"/>
  <bookViews>
    <workbookView xWindow="-110" yWindow="-110" windowWidth="19420" windowHeight="10300" activeTab="1" xr2:uid="{00000000-000D-0000-FFFF-FFFF00000000}"/>
  </bookViews>
  <sheets>
    <sheet name="Please Note" sheetId="14" r:id="rId1"/>
    <sheet name="Total Raisins" sheetId="1" r:id="rId2"/>
    <sheet name="Thompsons" sheetId="4" r:id="rId3"/>
    <sheet name="Flame" sheetId="11" r:id="rId4"/>
    <sheet name="SA Sultana" sheetId="5" r:id="rId5"/>
    <sheet name="OR Sultana" sheetId="10" r:id="rId6"/>
    <sheet name="Goldens" sheetId="7" r:id="rId7"/>
    <sheet name="Currants" sheetId="9" r:id="rId8"/>
    <sheet name="Other" sheetId="12" r:id="rId9"/>
    <sheet name=" Specific add product detail" sheetId="15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47" i="15" l="1"/>
  <c r="F746" i="15"/>
  <c r="F745" i="15"/>
  <c r="F744" i="15"/>
  <c r="F743" i="15"/>
  <c r="F742" i="15"/>
  <c r="F741" i="15"/>
  <c r="F740" i="15"/>
  <c r="F739" i="15"/>
  <c r="F738" i="15"/>
  <c r="F737" i="15"/>
  <c r="F736" i="15"/>
  <c r="F735" i="15"/>
  <c r="F734" i="15"/>
  <c r="F733" i="15"/>
  <c r="F732" i="15"/>
  <c r="F731" i="15"/>
  <c r="F730" i="15"/>
  <c r="G730" i="15" s="1"/>
  <c r="G731" i="15" s="1"/>
  <c r="G732" i="15" s="1"/>
  <c r="G733" i="15" s="1"/>
  <c r="G734" i="15" s="1"/>
  <c r="G735" i="15" s="1"/>
  <c r="G736" i="15" s="1"/>
  <c r="G737" i="15" s="1"/>
  <c r="G738" i="15" s="1"/>
  <c r="G739" i="15" s="1"/>
  <c r="G740" i="15" s="1"/>
  <c r="G741" i="15" s="1"/>
  <c r="G742" i="15" s="1"/>
  <c r="G743" i="15" s="1"/>
  <c r="G744" i="15" s="1"/>
  <c r="G745" i="15" s="1"/>
  <c r="G746" i="15" s="1"/>
  <c r="G747" i="15" s="1"/>
  <c r="F729" i="15"/>
  <c r="F728" i="15"/>
  <c r="F727" i="15"/>
  <c r="F726" i="15"/>
  <c r="G726" i="15" s="1"/>
  <c r="G727" i="15" s="1"/>
  <c r="G728" i="15" s="1"/>
  <c r="G729" i="15" s="1"/>
  <c r="F710" i="15"/>
  <c r="F709" i="15"/>
  <c r="F708" i="15"/>
  <c r="F707" i="15"/>
  <c r="F706" i="15"/>
  <c r="F705" i="15"/>
  <c r="F704" i="15"/>
  <c r="F703" i="15"/>
  <c r="F702" i="15"/>
  <c r="F701" i="15"/>
  <c r="F700" i="15"/>
  <c r="F699" i="15"/>
  <c r="F698" i="15"/>
  <c r="F697" i="15"/>
  <c r="F696" i="15"/>
  <c r="F695" i="15"/>
  <c r="F694" i="15"/>
  <c r="F693" i="15"/>
  <c r="F692" i="15"/>
  <c r="G692" i="15" s="1"/>
  <c r="G693" i="15" s="1"/>
  <c r="G694" i="15" s="1"/>
  <c r="G695" i="15" s="1"/>
  <c r="G696" i="15" s="1"/>
  <c r="G697" i="15" s="1"/>
  <c r="G698" i="15" s="1"/>
  <c r="G699" i="15" s="1"/>
  <c r="G700" i="15" s="1"/>
  <c r="G701" i="15" s="1"/>
  <c r="G702" i="15" s="1"/>
  <c r="G703" i="15" s="1"/>
  <c r="G704" i="15" s="1"/>
  <c r="G705" i="15" s="1"/>
  <c r="G706" i="15" s="1"/>
  <c r="G707" i="15" s="1"/>
  <c r="G708" i="15" s="1"/>
  <c r="G709" i="15" s="1"/>
  <c r="G710" i="15" s="1"/>
  <c r="F673" i="15"/>
  <c r="F672" i="15"/>
  <c r="F671" i="15"/>
  <c r="F670" i="15"/>
  <c r="F669" i="15"/>
  <c r="F668" i="15"/>
  <c r="F667" i="15"/>
  <c r="F666" i="15"/>
  <c r="F665" i="15"/>
  <c r="F664" i="15"/>
  <c r="F663" i="15"/>
  <c r="F662" i="15"/>
  <c r="F661" i="15"/>
  <c r="F660" i="15"/>
  <c r="F659" i="15"/>
  <c r="F658" i="15"/>
  <c r="F657" i="15"/>
  <c r="F656" i="15"/>
  <c r="F655" i="15"/>
  <c r="E654" i="15"/>
  <c r="F654" i="15" s="1"/>
  <c r="F653" i="15"/>
  <c r="F652" i="15"/>
  <c r="F651" i="15"/>
  <c r="G651" i="15" s="1"/>
  <c r="G652" i="15" s="1"/>
  <c r="G653" i="15" s="1"/>
  <c r="G654" i="15" s="1"/>
  <c r="G655" i="15" s="1"/>
  <c r="G656" i="15" s="1"/>
  <c r="G657" i="15" s="1"/>
  <c r="G658" i="15" s="1"/>
  <c r="G659" i="15" s="1"/>
  <c r="G660" i="15" s="1"/>
  <c r="G661" i="15" s="1"/>
  <c r="G662" i="15" s="1"/>
  <c r="G663" i="15" s="1"/>
  <c r="G664" i="15" s="1"/>
  <c r="G665" i="15" s="1"/>
  <c r="G666" i="15" s="1"/>
  <c r="G667" i="15" s="1"/>
  <c r="G668" i="15" s="1"/>
  <c r="G669" i="15" s="1"/>
  <c r="G670" i="15" s="1"/>
  <c r="G671" i="15" s="1"/>
  <c r="G672" i="15" s="1"/>
  <c r="G673" i="15" s="1"/>
  <c r="F636" i="15"/>
  <c r="F635" i="15"/>
  <c r="F634" i="15"/>
  <c r="F633" i="15"/>
  <c r="F632" i="15"/>
  <c r="F631" i="15"/>
  <c r="F630" i="15"/>
  <c r="F629" i="15"/>
  <c r="F628" i="15"/>
  <c r="F627" i="15"/>
  <c r="F626" i="15"/>
  <c r="F625" i="15"/>
  <c r="F624" i="15"/>
  <c r="F623" i="15"/>
  <c r="F622" i="15"/>
  <c r="F621" i="15"/>
  <c r="F620" i="15"/>
  <c r="F619" i="15"/>
  <c r="F618" i="15"/>
  <c r="F617" i="15"/>
  <c r="E617" i="15"/>
  <c r="F616" i="15"/>
  <c r="F615" i="15"/>
  <c r="F614" i="15"/>
  <c r="G614" i="15" s="1"/>
  <c r="G615" i="15" s="1"/>
  <c r="G616" i="15" s="1"/>
  <c r="G617" i="15" s="1"/>
  <c r="G618" i="15" s="1"/>
  <c r="G619" i="15" s="1"/>
  <c r="G620" i="15" s="1"/>
  <c r="G621" i="15" s="1"/>
  <c r="G622" i="15" s="1"/>
  <c r="G623" i="15" s="1"/>
  <c r="G624" i="15" s="1"/>
  <c r="G625" i="15" s="1"/>
  <c r="G626" i="15" s="1"/>
  <c r="G627" i="15" s="1"/>
  <c r="G628" i="15" s="1"/>
  <c r="G629" i="15" s="1"/>
  <c r="G630" i="15" s="1"/>
  <c r="G631" i="15" s="1"/>
  <c r="G632" i="15" s="1"/>
  <c r="G633" i="15" s="1"/>
  <c r="G634" i="15" s="1"/>
  <c r="G635" i="15" s="1"/>
  <c r="G636" i="15" s="1"/>
  <c r="F596" i="15"/>
  <c r="F595" i="15"/>
  <c r="F594" i="15"/>
  <c r="F593" i="15"/>
  <c r="F592" i="15"/>
  <c r="F591" i="15"/>
  <c r="F590" i="15"/>
  <c r="F589" i="15"/>
  <c r="F588" i="15"/>
  <c r="F587" i="15"/>
  <c r="F586" i="15"/>
  <c r="F585" i="15"/>
  <c r="F584" i="15"/>
  <c r="F583" i="15"/>
  <c r="F582" i="15"/>
  <c r="F581" i="15"/>
  <c r="F580" i="15"/>
  <c r="F579" i="15"/>
  <c r="F578" i="15"/>
  <c r="F577" i="15"/>
  <c r="G577" i="15" s="1"/>
  <c r="G578" i="15" s="1"/>
  <c r="G579" i="15" s="1"/>
  <c r="G580" i="15" s="1"/>
  <c r="G581" i="15" s="1"/>
  <c r="G582" i="15" s="1"/>
  <c r="G583" i="15" s="1"/>
  <c r="G584" i="15" s="1"/>
  <c r="G585" i="15" s="1"/>
  <c r="G586" i="15" s="1"/>
  <c r="G587" i="15" s="1"/>
  <c r="G588" i="15" s="1"/>
  <c r="G589" i="15" s="1"/>
  <c r="G590" i="15" s="1"/>
  <c r="G591" i="15" s="1"/>
  <c r="G592" i="15" s="1"/>
  <c r="G593" i="15" s="1"/>
  <c r="G594" i="15" s="1"/>
  <c r="G595" i="15" s="1"/>
  <c r="G596" i="15" s="1"/>
  <c r="F576" i="15"/>
  <c r="F575" i="15"/>
  <c r="F574" i="15"/>
  <c r="G574" i="15" s="1"/>
  <c r="G575" i="15" s="1"/>
  <c r="G576" i="15" s="1"/>
  <c r="F559" i="15"/>
  <c r="F558" i="15"/>
  <c r="F557" i="15"/>
  <c r="F556" i="15"/>
  <c r="F555" i="15"/>
  <c r="F554" i="15"/>
  <c r="F553" i="15"/>
  <c r="F552" i="15"/>
  <c r="F551" i="15"/>
  <c r="F550" i="15"/>
  <c r="F549" i="15"/>
  <c r="F548" i="15"/>
  <c r="F547" i="15"/>
  <c r="F546" i="15"/>
  <c r="F545" i="15"/>
  <c r="F544" i="15"/>
  <c r="F543" i="15"/>
  <c r="F542" i="15"/>
  <c r="D541" i="15"/>
  <c r="F541" i="15" s="1"/>
  <c r="F540" i="15"/>
  <c r="F539" i="15"/>
  <c r="F538" i="15"/>
  <c r="G538" i="15" s="1"/>
  <c r="G539" i="15" s="1"/>
  <c r="G540" i="15" s="1"/>
  <c r="G541" i="15" s="1"/>
  <c r="G542" i="15" s="1"/>
  <c r="G543" i="15" s="1"/>
  <c r="G544" i="15" s="1"/>
  <c r="G545" i="15" s="1"/>
  <c r="G546" i="15" s="1"/>
  <c r="G547" i="15" s="1"/>
  <c r="G548" i="15" s="1"/>
  <c r="G549" i="15" s="1"/>
  <c r="G550" i="15" s="1"/>
  <c r="G551" i="15" s="1"/>
  <c r="G552" i="15" s="1"/>
  <c r="G553" i="15" s="1"/>
  <c r="G554" i="15" s="1"/>
  <c r="G555" i="15" s="1"/>
  <c r="G556" i="15" s="1"/>
  <c r="G557" i="15" s="1"/>
  <c r="G558" i="15" s="1"/>
  <c r="G559" i="15" s="1"/>
  <c r="F522" i="15"/>
  <c r="F521" i="15"/>
  <c r="F520" i="15"/>
  <c r="F519" i="15"/>
  <c r="F518" i="15"/>
  <c r="F517" i="15"/>
  <c r="F516" i="15"/>
  <c r="F515" i="15"/>
  <c r="F514" i="15"/>
  <c r="F513" i="15"/>
  <c r="F512" i="15"/>
  <c r="F511" i="15"/>
  <c r="F510" i="15"/>
  <c r="F509" i="15"/>
  <c r="F508" i="15"/>
  <c r="F507" i="15"/>
  <c r="F506" i="15"/>
  <c r="F505" i="15"/>
  <c r="F504" i="15"/>
  <c r="F503" i="15"/>
  <c r="F502" i="15"/>
  <c r="G502" i="15" s="1"/>
  <c r="G501" i="15"/>
  <c r="F501" i="15"/>
  <c r="F485" i="15"/>
  <c r="F484" i="15"/>
  <c r="F483" i="15"/>
  <c r="F482" i="15"/>
  <c r="F481" i="15"/>
  <c r="F480" i="15"/>
  <c r="F479" i="15"/>
  <c r="F478" i="15"/>
  <c r="F477" i="15"/>
  <c r="F476" i="15"/>
  <c r="F475" i="15"/>
  <c r="F474" i="15"/>
  <c r="F473" i="15"/>
  <c r="F472" i="15"/>
  <c r="F471" i="15"/>
  <c r="F470" i="15"/>
  <c r="F469" i="15"/>
  <c r="F468" i="15"/>
  <c r="F467" i="15"/>
  <c r="F466" i="15"/>
  <c r="F465" i="15"/>
  <c r="F464" i="15"/>
  <c r="F463" i="15"/>
  <c r="G463" i="15" s="1"/>
  <c r="G464" i="15" s="1"/>
  <c r="G465" i="15" s="1"/>
  <c r="G466" i="15" s="1"/>
  <c r="G467" i="15" s="1"/>
  <c r="G468" i="15" s="1"/>
  <c r="G469" i="15" s="1"/>
  <c r="G470" i="15" s="1"/>
  <c r="G471" i="15" s="1"/>
  <c r="G472" i="15" s="1"/>
  <c r="G473" i="15" s="1"/>
  <c r="G474" i="15" s="1"/>
  <c r="G475" i="15" s="1"/>
  <c r="G476" i="15" s="1"/>
  <c r="G477" i="15" s="1"/>
  <c r="G478" i="15" s="1"/>
  <c r="G479" i="15" s="1"/>
  <c r="G480" i="15" s="1"/>
  <c r="G481" i="15" s="1"/>
  <c r="G482" i="15" s="1"/>
  <c r="G483" i="15" s="1"/>
  <c r="G484" i="15" s="1"/>
  <c r="G485" i="15" s="1"/>
  <c r="F445" i="15"/>
  <c r="F444" i="15"/>
  <c r="F443" i="15"/>
  <c r="F442" i="15"/>
  <c r="F441" i="15"/>
  <c r="F440" i="15"/>
  <c r="F439" i="15"/>
  <c r="F438" i="15"/>
  <c r="F437" i="15"/>
  <c r="F436" i="15"/>
  <c r="F435" i="15"/>
  <c r="F434" i="15"/>
  <c r="F433" i="15"/>
  <c r="F432" i="15"/>
  <c r="F431" i="15"/>
  <c r="F430" i="15"/>
  <c r="F429" i="15"/>
  <c r="F428" i="15"/>
  <c r="F427" i="15"/>
  <c r="F426" i="15"/>
  <c r="F425" i="15"/>
  <c r="F424" i="15"/>
  <c r="F423" i="15"/>
  <c r="G423" i="15" s="1"/>
  <c r="G424" i="15" s="1"/>
  <c r="G425" i="15" s="1"/>
  <c r="G426" i="15" s="1"/>
  <c r="G427" i="15" s="1"/>
  <c r="G428" i="15" s="1"/>
  <c r="G429" i="15" s="1"/>
  <c r="G430" i="15" s="1"/>
  <c r="G431" i="15" s="1"/>
  <c r="G432" i="15" s="1"/>
  <c r="G433" i="15" s="1"/>
  <c r="G434" i="15" s="1"/>
  <c r="G435" i="15" s="1"/>
  <c r="G436" i="15" s="1"/>
  <c r="G437" i="15" s="1"/>
  <c r="G438" i="15" s="1"/>
  <c r="G439" i="15" s="1"/>
  <c r="G440" i="15" s="1"/>
  <c r="G441" i="15" s="1"/>
  <c r="G442" i="15" s="1"/>
  <c r="G443" i="15" s="1"/>
  <c r="G444" i="15" s="1"/>
  <c r="G445" i="15" s="1"/>
  <c r="F408" i="15"/>
  <c r="F407" i="15"/>
  <c r="F406" i="15"/>
  <c r="F405" i="15"/>
  <c r="F404" i="15"/>
  <c r="F403" i="15"/>
  <c r="F402" i="15"/>
  <c r="F401" i="15"/>
  <c r="F400" i="15"/>
  <c r="F399" i="15"/>
  <c r="F398" i="15"/>
  <c r="F397" i="15"/>
  <c r="F396" i="15"/>
  <c r="F395" i="15"/>
  <c r="F394" i="15"/>
  <c r="F393" i="15"/>
  <c r="F392" i="15"/>
  <c r="F391" i="15"/>
  <c r="F390" i="15"/>
  <c r="F389" i="15"/>
  <c r="F388" i="15"/>
  <c r="F387" i="15"/>
  <c r="G387" i="15" s="1"/>
  <c r="G388" i="15" s="1"/>
  <c r="G389" i="15" s="1"/>
  <c r="G390" i="15" s="1"/>
  <c r="G391" i="15" s="1"/>
  <c r="G392" i="15" s="1"/>
  <c r="G393" i="15" s="1"/>
  <c r="G394" i="15" s="1"/>
  <c r="G395" i="15" s="1"/>
  <c r="G396" i="15" s="1"/>
  <c r="G397" i="15" s="1"/>
  <c r="G398" i="15" s="1"/>
  <c r="G399" i="15" s="1"/>
  <c r="G400" i="15" s="1"/>
  <c r="G401" i="15" s="1"/>
  <c r="G402" i="15" s="1"/>
  <c r="G403" i="15" s="1"/>
  <c r="G404" i="15" s="1"/>
  <c r="G405" i="15" s="1"/>
  <c r="G406" i="15" s="1"/>
  <c r="G407" i="15" s="1"/>
  <c r="G408" i="15" s="1"/>
  <c r="F371" i="15"/>
  <c r="F370" i="15"/>
  <c r="F369" i="15"/>
  <c r="F368" i="15"/>
  <c r="F367" i="15"/>
  <c r="F366" i="15"/>
  <c r="F365" i="15"/>
  <c r="F364" i="15"/>
  <c r="F363" i="15"/>
  <c r="F362" i="15"/>
  <c r="F361" i="15"/>
  <c r="F360" i="15"/>
  <c r="F359" i="15"/>
  <c r="F358" i="15"/>
  <c r="F357" i="15"/>
  <c r="F356" i="15"/>
  <c r="F355" i="15"/>
  <c r="F354" i="15"/>
  <c r="F353" i="15"/>
  <c r="E352" i="15"/>
  <c r="F352" i="15" s="1"/>
  <c r="F351" i="15"/>
  <c r="F350" i="15"/>
  <c r="G350" i="15" s="1"/>
  <c r="G351" i="15" s="1"/>
  <c r="G352" i="15" s="1"/>
  <c r="G353" i="15" s="1"/>
  <c r="G354" i="15" s="1"/>
  <c r="G355" i="15" s="1"/>
  <c r="G356" i="15" s="1"/>
  <c r="G357" i="15" s="1"/>
  <c r="G358" i="15" s="1"/>
  <c r="G359" i="15" s="1"/>
  <c r="G360" i="15" s="1"/>
  <c r="G361" i="15" s="1"/>
  <c r="G362" i="15" s="1"/>
  <c r="G363" i="15" s="1"/>
  <c r="G364" i="15" s="1"/>
  <c r="G365" i="15" s="1"/>
  <c r="G366" i="15" s="1"/>
  <c r="G367" i="15" s="1"/>
  <c r="G368" i="15" s="1"/>
  <c r="G369" i="15" s="1"/>
  <c r="G370" i="15" s="1"/>
  <c r="G371" i="15" s="1"/>
  <c r="G349" i="15"/>
  <c r="F349" i="15"/>
  <c r="F334" i="15"/>
  <c r="F333" i="15"/>
  <c r="F332" i="15"/>
  <c r="F331" i="15"/>
  <c r="F330" i="15"/>
  <c r="F329" i="15"/>
  <c r="F328" i="15"/>
  <c r="F327" i="15"/>
  <c r="F326" i="15"/>
  <c r="F325" i="15"/>
  <c r="F324" i="15"/>
  <c r="F323" i="15"/>
  <c r="F322" i="15"/>
  <c r="F321" i="15"/>
  <c r="F320" i="15"/>
  <c r="F319" i="15"/>
  <c r="F318" i="15"/>
  <c r="F317" i="15"/>
  <c r="F316" i="15"/>
  <c r="E315" i="15"/>
  <c r="F315" i="15" s="1"/>
  <c r="F314" i="15"/>
  <c r="G313" i="15"/>
  <c r="G314" i="15" s="1"/>
  <c r="G315" i="15" s="1"/>
  <c r="G316" i="15" s="1"/>
  <c r="G317" i="15" s="1"/>
  <c r="G318" i="15" s="1"/>
  <c r="G319" i="15" s="1"/>
  <c r="G320" i="15" s="1"/>
  <c r="G321" i="15" s="1"/>
  <c r="G322" i="15" s="1"/>
  <c r="G323" i="15" s="1"/>
  <c r="G324" i="15" s="1"/>
  <c r="G325" i="15" s="1"/>
  <c r="G326" i="15" s="1"/>
  <c r="G327" i="15" s="1"/>
  <c r="G328" i="15" s="1"/>
  <c r="G329" i="15" s="1"/>
  <c r="G330" i="15" s="1"/>
  <c r="G331" i="15" s="1"/>
  <c r="G332" i="15" s="1"/>
  <c r="G333" i="15" s="1"/>
  <c r="G334" i="15" s="1"/>
  <c r="F313" i="15"/>
  <c r="G312" i="15"/>
  <c r="F312" i="15"/>
  <c r="F295" i="15"/>
  <c r="F294" i="15"/>
  <c r="F293" i="15"/>
  <c r="F292" i="15"/>
  <c r="F291" i="15"/>
  <c r="F290" i="15"/>
  <c r="F289" i="15"/>
  <c r="F288" i="15"/>
  <c r="F287" i="15"/>
  <c r="F286" i="15"/>
  <c r="F285" i="15"/>
  <c r="F284" i="15"/>
  <c r="F283" i="15"/>
  <c r="F282" i="15"/>
  <c r="F281" i="15"/>
  <c r="F280" i="15"/>
  <c r="F279" i="15"/>
  <c r="F278" i="15"/>
  <c r="F277" i="15"/>
  <c r="G277" i="15" s="1"/>
  <c r="G278" i="15" s="1"/>
  <c r="G279" i="15" s="1"/>
  <c r="G280" i="15" s="1"/>
  <c r="G281" i="15" s="1"/>
  <c r="G282" i="15" s="1"/>
  <c r="G283" i="15" s="1"/>
  <c r="G284" i="15" s="1"/>
  <c r="G285" i="15" s="1"/>
  <c r="G286" i="15" s="1"/>
  <c r="G287" i="15" s="1"/>
  <c r="G288" i="15" s="1"/>
  <c r="G289" i="15" s="1"/>
  <c r="G290" i="15" s="1"/>
  <c r="G291" i="15" s="1"/>
  <c r="G292" i="15" s="1"/>
  <c r="G293" i="15" s="1"/>
  <c r="G294" i="15" s="1"/>
  <c r="G295" i="15" s="1"/>
  <c r="F258" i="15"/>
  <c r="F257" i="15"/>
  <c r="F256" i="15"/>
  <c r="F255" i="15"/>
  <c r="F254" i="15"/>
  <c r="F253" i="15"/>
  <c r="F252" i="15"/>
  <c r="F251" i="15"/>
  <c r="F250" i="15"/>
  <c r="F249" i="15"/>
  <c r="F248" i="15"/>
  <c r="F247" i="15"/>
  <c r="F246" i="15"/>
  <c r="F245" i="15"/>
  <c r="F244" i="15"/>
  <c r="F243" i="15"/>
  <c r="F242" i="15"/>
  <c r="F241" i="15"/>
  <c r="G240" i="15"/>
  <c r="G241" i="15" s="1"/>
  <c r="G242" i="15" s="1"/>
  <c r="G243" i="15" s="1"/>
  <c r="G244" i="15" s="1"/>
  <c r="G245" i="15" s="1"/>
  <c r="G246" i="15" s="1"/>
  <c r="G247" i="15" s="1"/>
  <c r="G248" i="15" s="1"/>
  <c r="G249" i="15" s="1"/>
  <c r="G250" i="15" s="1"/>
  <c r="G251" i="15" s="1"/>
  <c r="G252" i="15" s="1"/>
  <c r="G253" i="15" s="1"/>
  <c r="G254" i="15" s="1"/>
  <c r="G255" i="15" s="1"/>
  <c r="G256" i="15" s="1"/>
  <c r="G257" i="15" s="1"/>
  <c r="G258" i="15" s="1"/>
  <c r="F240" i="15"/>
  <c r="F221" i="15"/>
  <c r="F220" i="15"/>
  <c r="F219" i="15"/>
  <c r="F218" i="15"/>
  <c r="F217" i="15"/>
  <c r="F216" i="15"/>
  <c r="F215" i="15"/>
  <c r="F214" i="15"/>
  <c r="F213" i="15"/>
  <c r="F212" i="15"/>
  <c r="F211" i="15"/>
  <c r="F210" i="15"/>
  <c r="F209" i="15"/>
  <c r="F208" i="15"/>
  <c r="F207" i="15"/>
  <c r="F206" i="15"/>
  <c r="F205" i="15"/>
  <c r="F204" i="15"/>
  <c r="F203" i="15"/>
  <c r="F202" i="15"/>
  <c r="F201" i="15"/>
  <c r="F200" i="15"/>
  <c r="F199" i="15"/>
  <c r="G199" i="15" s="1"/>
  <c r="G200" i="15" s="1"/>
  <c r="G201" i="15" s="1"/>
  <c r="G202" i="15" s="1"/>
  <c r="G203" i="15" s="1"/>
  <c r="G204" i="15" s="1"/>
  <c r="G205" i="15" s="1"/>
  <c r="G206" i="15" s="1"/>
  <c r="G207" i="15" s="1"/>
  <c r="G208" i="15" s="1"/>
  <c r="G209" i="15" s="1"/>
  <c r="G210" i="15" s="1"/>
  <c r="G211" i="15" s="1"/>
  <c r="G212" i="15" s="1"/>
  <c r="G213" i="15" s="1"/>
  <c r="G214" i="15" s="1"/>
  <c r="G215" i="15" s="1"/>
  <c r="G216" i="15" s="1"/>
  <c r="G217" i="15" s="1"/>
  <c r="G218" i="15" s="1"/>
  <c r="G219" i="15" s="1"/>
  <c r="G220" i="15" s="1"/>
  <c r="G221" i="15" s="1"/>
  <c r="F184" i="15"/>
  <c r="F183" i="15"/>
  <c r="F182" i="15"/>
  <c r="F181" i="15"/>
  <c r="F180" i="15"/>
  <c r="F179" i="15"/>
  <c r="F178" i="15"/>
  <c r="F177" i="15"/>
  <c r="F176" i="15"/>
  <c r="F175" i="15"/>
  <c r="F174" i="15"/>
  <c r="F173" i="15"/>
  <c r="F172" i="15"/>
  <c r="F171" i="15"/>
  <c r="F170" i="15"/>
  <c r="F169" i="15"/>
  <c r="F168" i="15"/>
  <c r="F167" i="15"/>
  <c r="F166" i="15"/>
  <c r="F165" i="15"/>
  <c r="F164" i="15"/>
  <c r="F163" i="15"/>
  <c r="G162" i="15"/>
  <c r="G163" i="15" s="1"/>
  <c r="G164" i="15" s="1"/>
  <c r="G165" i="15" s="1"/>
  <c r="G166" i="15" s="1"/>
  <c r="G167" i="15" s="1"/>
  <c r="G168" i="15" s="1"/>
  <c r="G169" i="15" s="1"/>
  <c r="G170" i="15" s="1"/>
  <c r="G171" i="15" s="1"/>
  <c r="G172" i="15" s="1"/>
  <c r="G173" i="15" s="1"/>
  <c r="G174" i="15" s="1"/>
  <c r="G175" i="15" s="1"/>
  <c r="G176" i="15" s="1"/>
  <c r="G177" i="15" s="1"/>
  <c r="G178" i="15" s="1"/>
  <c r="G179" i="15" s="1"/>
  <c r="G180" i="15" s="1"/>
  <c r="G181" i="15" s="1"/>
  <c r="G182" i="15" s="1"/>
  <c r="G183" i="15" s="1"/>
  <c r="G184" i="15" s="1"/>
  <c r="F162" i="15"/>
  <c r="F145" i="15"/>
  <c r="F144" i="15"/>
  <c r="F143" i="15"/>
  <c r="F142" i="15"/>
  <c r="F141" i="15"/>
  <c r="F140" i="15"/>
  <c r="F139" i="15"/>
  <c r="F138" i="15"/>
  <c r="F137" i="15"/>
  <c r="F136" i="15"/>
  <c r="F135" i="15"/>
  <c r="F134" i="15"/>
  <c r="F133" i="15"/>
  <c r="F132" i="15"/>
  <c r="F131" i="15"/>
  <c r="F130" i="15"/>
  <c r="F129" i="15"/>
  <c r="F128" i="15"/>
  <c r="F127" i="15"/>
  <c r="F125" i="15"/>
  <c r="F124" i="15"/>
  <c r="F123" i="15"/>
  <c r="G123" i="15" s="1"/>
  <c r="G124" i="15" s="1"/>
  <c r="G125" i="15" s="1"/>
  <c r="G126" i="15" s="1"/>
  <c r="G127" i="15" s="1"/>
  <c r="G128" i="15" s="1"/>
  <c r="G129" i="15" s="1"/>
  <c r="G130" i="15" s="1"/>
  <c r="G131" i="15" s="1"/>
  <c r="G132" i="15" s="1"/>
  <c r="G133" i="15" s="1"/>
  <c r="G134" i="15" s="1"/>
  <c r="G135" i="15" s="1"/>
  <c r="G136" i="15" s="1"/>
  <c r="G137" i="15" s="1"/>
  <c r="G138" i="15" s="1"/>
  <c r="G139" i="15" s="1"/>
  <c r="G140" i="15" s="1"/>
  <c r="G141" i="15" s="1"/>
  <c r="G142" i="15" s="1"/>
  <c r="G143" i="15" s="1"/>
  <c r="G144" i="15" s="1"/>
  <c r="G145" i="15" s="1"/>
  <c r="F108" i="15"/>
  <c r="F107" i="15"/>
  <c r="F106" i="15"/>
  <c r="F105" i="15"/>
  <c r="F104" i="15"/>
  <c r="F103" i="15"/>
  <c r="F102" i="15"/>
  <c r="F101" i="15"/>
  <c r="F100" i="15"/>
  <c r="F99" i="15"/>
  <c r="F98" i="15"/>
  <c r="F97" i="15"/>
  <c r="F96" i="15"/>
  <c r="F95" i="15"/>
  <c r="F94" i="15"/>
  <c r="F93" i="15"/>
  <c r="F92" i="15"/>
  <c r="F91" i="15"/>
  <c r="F90" i="15"/>
  <c r="G90" i="15" s="1"/>
  <c r="G91" i="15" s="1"/>
  <c r="G92" i="15" s="1"/>
  <c r="G93" i="15" s="1"/>
  <c r="G94" i="15" s="1"/>
  <c r="G95" i="15" s="1"/>
  <c r="G96" i="15" s="1"/>
  <c r="G97" i="15" s="1"/>
  <c r="G98" i="15" s="1"/>
  <c r="G99" i="15" s="1"/>
  <c r="G100" i="15" s="1"/>
  <c r="G101" i="15" s="1"/>
  <c r="G102" i="15" s="1"/>
  <c r="G103" i="15" s="1"/>
  <c r="G104" i="15" s="1"/>
  <c r="G105" i="15" s="1"/>
  <c r="G106" i="15" s="1"/>
  <c r="G107" i="15" s="1"/>
  <c r="G108" i="15" s="1"/>
  <c r="G87" i="15"/>
  <c r="G88" i="15" s="1"/>
  <c r="F71" i="15"/>
  <c r="F70" i="15"/>
  <c r="F69" i="15"/>
  <c r="F68" i="15"/>
  <c r="F67" i="15"/>
  <c r="F66" i="15"/>
  <c r="F65" i="15"/>
  <c r="F64" i="15"/>
  <c r="F63" i="15"/>
  <c r="F62" i="15"/>
  <c r="F61" i="15"/>
  <c r="F60" i="15"/>
  <c r="F59" i="15"/>
  <c r="F58" i="15"/>
  <c r="F57" i="15"/>
  <c r="F56" i="15"/>
  <c r="F55" i="15"/>
  <c r="F54" i="15"/>
  <c r="F53" i="15"/>
  <c r="F52" i="15"/>
  <c r="G50" i="15"/>
  <c r="G51" i="15" s="1"/>
  <c r="G52" i="15" s="1"/>
  <c r="G53" i="15" s="1"/>
  <c r="G54" i="15" s="1"/>
  <c r="G55" i="15" s="1"/>
  <c r="G56" i="15" s="1"/>
  <c r="G57" i="15" s="1"/>
  <c r="G58" i="15" s="1"/>
  <c r="G59" i="15" s="1"/>
  <c r="G60" i="15" s="1"/>
  <c r="G61" i="15" s="1"/>
  <c r="G62" i="15" s="1"/>
  <c r="G63" i="15" s="1"/>
  <c r="G64" i="15" s="1"/>
  <c r="G65" i="15" s="1"/>
  <c r="G66" i="15" s="1"/>
  <c r="G67" i="15" s="1"/>
  <c r="G68" i="15" s="1"/>
  <c r="G69" i="15" s="1"/>
  <c r="G70" i="15" s="1"/>
  <c r="G71" i="15" s="1"/>
  <c r="G49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G15" i="15"/>
  <c r="G16" i="15" s="1"/>
  <c r="G17" i="15" s="1"/>
  <c r="G18" i="15" s="1"/>
  <c r="G19" i="15" s="1"/>
  <c r="G20" i="15" s="1"/>
  <c r="G21" i="15" s="1"/>
  <c r="G22" i="15" s="1"/>
  <c r="G23" i="15" s="1"/>
  <c r="G24" i="15" s="1"/>
  <c r="G25" i="15" s="1"/>
  <c r="G26" i="15" s="1"/>
  <c r="G27" i="15" s="1"/>
  <c r="G28" i="15" s="1"/>
  <c r="G29" i="15" s="1"/>
  <c r="G30" i="15" s="1"/>
  <c r="G31" i="15" s="1"/>
  <c r="G32" i="15" s="1"/>
  <c r="G33" i="15" s="1"/>
  <c r="G34" i="15" s="1"/>
  <c r="F15" i="15"/>
  <c r="I125" i="12"/>
  <c r="F125" i="12"/>
  <c r="F124" i="12"/>
  <c r="G124" i="12" s="1"/>
  <c r="I88" i="12"/>
  <c r="F88" i="12"/>
  <c r="F87" i="12"/>
  <c r="G87" i="12" s="1"/>
  <c r="I51" i="12"/>
  <c r="F51" i="12"/>
  <c r="F50" i="12"/>
  <c r="G50" i="12" s="1"/>
  <c r="I14" i="12"/>
  <c r="F14" i="12"/>
  <c r="F13" i="12"/>
  <c r="F125" i="9"/>
  <c r="F124" i="9"/>
  <c r="G124" i="9" s="1"/>
  <c r="I88" i="9"/>
  <c r="F88" i="9"/>
  <c r="F87" i="9"/>
  <c r="G87" i="9" s="1"/>
  <c r="F51" i="9"/>
  <c r="G51" i="9" s="1"/>
  <c r="H51" i="9" s="1"/>
  <c r="H50" i="9"/>
  <c r="G50" i="9"/>
  <c r="F50" i="9"/>
  <c r="I14" i="9"/>
  <c r="F14" i="9"/>
  <c r="F13" i="9"/>
  <c r="I125" i="7"/>
  <c r="F125" i="7"/>
  <c r="F124" i="7"/>
  <c r="G124" i="7" s="1"/>
  <c r="F88" i="7"/>
  <c r="F87" i="7"/>
  <c r="G87" i="7" s="1"/>
  <c r="I51" i="7"/>
  <c r="F51" i="7"/>
  <c r="F50" i="7"/>
  <c r="G50" i="7" s="1"/>
  <c r="I14" i="7"/>
  <c r="F14" i="7"/>
  <c r="F13" i="7"/>
  <c r="I125" i="10"/>
  <c r="F125" i="10"/>
  <c r="F124" i="10"/>
  <c r="G124" i="10" s="1"/>
  <c r="F88" i="10"/>
  <c r="F87" i="10"/>
  <c r="G87" i="10" s="1"/>
  <c r="I51" i="10"/>
  <c r="F51" i="10"/>
  <c r="F50" i="10"/>
  <c r="G50" i="10" s="1"/>
  <c r="I14" i="10"/>
  <c r="F14" i="10"/>
  <c r="F13" i="10"/>
  <c r="I125" i="5"/>
  <c r="F125" i="5"/>
  <c r="F124" i="5"/>
  <c r="G124" i="5" s="1"/>
  <c r="F88" i="5"/>
  <c r="F87" i="5"/>
  <c r="G87" i="5" s="1"/>
  <c r="F51" i="5"/>
  <c r="I50" i="5"/>
  <c r="I51" i="5" s="1"/>
  <c r="F50" i="5"/>
  <c r="G50" i="5" s="1"/>
  <c r="H125" i="11"/>
  <c r="I125" i="11"/>
  <c r="F125" i="11"/>
  <c r="G124" i="11"/>
  <c r="G125" i="11" s="1"/>
  <c r="F124" i="11"/>
  <c r="I88" i="11"/>
  <c r="F88" i="11"/>
  <c r="F87" i="11"/>
  <c r="G87" i="11" s="1"/>
  <c r="I51" i="11"/>
  <c r="F51" i="11"/>
  <c r="F50" i="11"/>
  <c r="G50" i="11" s="1"/>
  <c r="F13" i="11"/>
  <c r="F14" i="11"/>
  <c r="I14" i="5"/>
  <c r="F14" i="5"/>
  <c r="F13" i="5"/>
  <c r="I14" i="11"/>
  <c r="I125" i="4"/>
  <c r="F125" i="4"/>
  <c r="F124" i="4"/>
  <c r="G124" i="4" s="1"/>
  <c r="I88" i="4"/>
  <c r="F88" i="4"/>
  <c r="F87" i="4"/>
  <c r="G87" i="4" s="1"/>
  <c r="I51" i="4"/>
  <c r="G51" i="4"/>
  <c r="H51" i="4" s="1"/>
  <c r="F51" i="4"/>
  <c r="G50" i="4"/>
  <c r="H50" i="4" s="1"/>
  <c r="F50" i="4"/>
  <c r="F14" i="4"/>
  <c r="F13" i="4"/>
  <c r="G503" i="15" l="1"/>
  <c r="G504" i="15" s="1"/>
  <c r="G505" i="15" s="1"/>
  <c r="G506" i="15" s="1"/>
  <c r="G507" i="15" s="1"/>
  <c r="G508" i="15" s="1"/>
  <c r="G509" i="15" s="1"/>
  <c r="G510" i="15" s="1"/>
  <c r="G511" i="15" s="1"/>
  <c r="G512" i="15" s="1"/>
  <c r="G513" i="15" s="1"/>
  <c r="G514" i="15" s="1"/>
  <c r="G515" i="15" s="1"/>
  <c r="G516" i="15" s="1"/>
  <c r="G517" i="15" s="1"/>
  <c r="G518" i="15" s="1"/>
  <c r="G519" i="15" s="1"/>
  <c r="G520" i="15" s="1"/>
  <c r="G521" i="15" s="1"/>
  <c r="G522" i="15" s="1"/>
  <c r="G125" i="12"/>
  <c r="H125" i="12" s="1"/>
  <c r="H124" i="12"/>
  <c r="G88" i="12"/>
  <c r="H88" i="12" s="1"/>
  <c r="H87" i="12"/>
  <c r="G51" i="12"/>
  <c r="H51" i="12" s="1"/>
  <c r="H50" i="12"/>
  <c r="G125" i="9"/>
  <c r="H125" i="9" s="1"/>
  <c r="H124" i="9"/>
  <c r="G88" i="9"/>
  <c r="H88" i="9" s="1"/>
  <c r="H87" i="9"/>
  <c r="G125" i="7"/>
  <c r="H125" i="7" s="1"/>
  <c r="H124" i="7"/>
  <c r="G88" i="7"/>
  <c r="H87" i="7"/>
  <c r="H88" i="7" s="1"/>
  <c r="G51" i="7"/>
  <c r="H51" i="7" s="1"/>
  <c r="H50" i="7"/>
  <c r="G125" i="10"/>
  <c r="H125" i="10" s="1"/>
  <c r="H124" i="10"/>
  <c r="H87" i="10"/>
  <c r="G88" i="10"/>
  <c r="H88" i="10" s="1"/>
  <c r="G51" i="10"/>
  <c r="H51" i="10" s="1"/>
  <c r="H50" i="10"/>
  <c r="G125" i="5"/>
  <c r="H125" i="5" s="1"/>
  <c r="H124" i="5"/>
  <c r="G88" i="5"/>
  <c r="H88" i="5" s="1"/>
  <c r="H87" i="5"/>
  <c r="G51" i="5"/>
  <c r="H51" i="5" s="1"/>
  <c r="H50" i="5"/>
  <c r="H124" i="11"/>
  <c r="G88" i="11"/>
  <c r="H88" i="11" s="1"/>
  <c r="H87" i="11"/>
  <c r="G51" i="11"/>
  <c r="H51" i="11" s="1"/>
  <c r="H50" i="11"/>
  <c r="G125" i="4"/>
  <c r="H125" i="4" s="1"/>
  <c r="H124" i="4"/>
  <c r="G88" i="4"/>
  <c r="H88" i="4" s="1"/>
  <c r="H87" i="4"/>
  <c r="L124" i="1" l="1"/>
  <c r="L87" i="1"/>
  <c r="F87" i="1"/>
  <c r="L86" i="1"/>
  <c r="F86" i="1"/>
  <c r="G86" i="1" s="1"/>
  <c r="L50" i="1"/>
  <c r="F50" i="1"/>
  <c r="F49" i="1"/>
  <c r="G49" i="1" s="1"/>
  <c r="L14" i="1"/>
  <c r="F14" i="1"/>
  <c r="L13" i="1"/>
  <c r="F13" i="1"/>
  <c r="G13" i="1" s="1"/>
  <c r="I49" i="5"/>
  <c r="I48" i="5"/>
  <c r="E122" i="1"/>
  <c r="E85" i="1"/>
  <c r="E48" i="1"/>
  <c r="E12" i="1"/>
  <c r="L123" i="1"/>
  <c r="F123" i="1"/>
  <c r="I11" i="10"/>
  <c r="I12" i="10" s="1"/>
  <c r="I85" i="11"/>
  <c r="I86" i="11" s="1"/>
  <c r="I47" i="10"/>
  <c r="I122" i="10"/>
  <c r="I123" i="10" s="1"/>
  <c r="I122" i="5"/>
  <c r="I123" i="5" s="1"/>
  <c r="I10" i="5"/>
  <c r="I11" i="5" s="1"/>
  <c r="I12" i="5" s="1"/>
  <c r="I122" i="12"/>
  <c r="I123" i="12" s="1"/>
  <c r="I85" i="12"/>
  <c r="I86" i="12" s="1"/>
  <c r="I47" i="12"/>
  <c r="I48" i="12" s="1"/>
  <c r="I49" i="12" s="1"/>
  <c r="I10" i="12"/>
  <c r="I11" i="12" s="1"/>
  <c r="I12" i="12" s="1"/>
  <c r="I85" i="9"/>
  <c r="I86" i="9" s="1"/>
  <c r="I11" i="9"/>
  <c r="I12" i="9" s="1"/>
  <c r="I122" i="7"/>
  <c r="I123" i="7" s="1"/>
  <c r="I47" i="7"/>
  <c r="I48" i="7" s="1"/>
  <c r="I49" i="7" s="1"/>
  <c r="I10" i="7"/>
  <c r="I11" i="7" s="1"/>
  <c r="I12" i="7" s="1"/>
  <c r="I49" i="10"/>
  <c r="I48" i="10"/>
  <c r="I10" i="10"/>
  <c r="I122" i="11"/>
  <c r="I123" i="11" s="1"/>
  <c r="I47" i="11"/>
  <c r="I48" i="11" s="1"/>
  <c r="I49" i="11" s="1"/>
  <c r="I10" i="11"/>
  <c r="I11" i="11" s="1"/>
  <c r="I12" i="11" s="1"/>
  <c r="I122" i="4"/>
  <c r="I123" i="4" s="1"/>
  <c r="I85" i="4"/>
  <c r="I86" i="4" s="1"/>
  <c r="I47" i="4"/>
  <c r="I48" i="4" s="1"/>
  <c r="I49" i="4" s="1"/>
  <c r="I10" i="4"/>
  <c r="I11" i="4" s="1"/>
  <c r="I12" i="4" s="1"/>
  <c r="G87" i="1" l="1"/>
  <c r="K86" i="1"/>
  <c r="H86" i="1"/>
  <c r="G50" i="1"/>
  <c r="K49" i="1"/>
  <c r="H49" i="1"/>
  <c r="G14" i="1"/>
  <c r="K13" i="1"/>
  <c r="H13" i="1"/>
  <c r="D48" i="5"/>
  <c r="D11" i="4"/>
  <c r="D48" i="4"/>
  <c r="E48" i="4"/>
  <c r="E11" i="4" s="1"/>
  <c r="F11" i="4" s="1"/>
  <c r="F49" i="4"/>
  <c r="K87" i="1" l="1"/>
  <c r="H87" i="1"/>
  <c r="K50" i="1"/>
  <c r="H50" i="1"/>
  <c r="K14" i="1"/>
  <c r="H14" i="1"/>
  <c r="F48" i="4"/>
  <c r="H123" i="9"/>
  <c r="L122" i="1"/>
  <c r="L121" i="1"/>
  <c r="L120" i="1"/>
  <c r="L119" i="1"/>
  <c r="I120" i="1"/>
  <c r="I121" i="1" s="1"/>
  <c r="I122" i="1" s="1"/>
  <c r="L85" i="1"/>
  <c r="L84" i="1"/>
  <c r="L83" i="1"/>
  <c r="L82" i="1"/>
  <c r="I84" i="1"/>
  <c r="I85" i="1" s="1"/>
  <c r="L46" i="1"/>
  <c r="L45" i="1"/>
  <c r="I46" i="1"/>
  <c r="I47" i="1" s="1"/>
  <c r="I48" i="1" s="1"/>
  <c r="L12" i="1"/>
  <c r="F84" i="1"/>
  <c r="F82" i="1"/>
  <c r="G82" i="1" s="1"/>
  <c r="F47" i="1"/>
  <c r="F46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2" i="1"/>
  <c r="F121" i="1"/>
  <c r="F120" i="1"/>
  <c r="F119" i="1"/>
  <c r="G119" i="1" s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5" i="1"/>
  <c r="F83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48" i="1"/>
  <c r="F45" i="1"/>
  <c r="G45" i="1" s="1"/>
  <c r="F11" i="12"/>
  <c r="F10" i="12"/>
  <c r="F9" i="9"/>
  <c r="G9" i="9" s="1"/>
  <c r="H9" i="9" s="1"/>
  <c r="F11" i="11"/>
  <c r="F10" i="11"/>
  <c r="F11" i="10"/>
  <c r="F10" i="10"/>
  <c r="F9" i="10"/>
  <c r="G9" i="10" s="1"/>
  <c r="F11" i="5"/>
  <c r="F10" i="5"/>
  <c r="F9" i="5"/>
  <c r="G9" i="5" s="1"/>
  <c r="F11" i="7"/>
  <c r="F10" i="7"/>
  <c r="F9" i="7"/>
  <c r="G9" i="7" s="1"/>
  <c r="F142" i="12"/>
  <c r="F141" i="12"/>
  <c r="F140" i="12"/>
  <c r="F139" i="12"/>
  <c r="F138" i="12"/>
  <c r="F137" i="12"/>
  <c r="F136" i="12"/>
  <c r="F135" i="12"/>
  <c r="F134" i="12"/>
  <c r="F133" i="12"/>
  <c r="F132" i="12"/>
  <c r="F131" i="12"/>
  <c r="F130" i="12"/>
  <c r="F129" i="12"/>
  <c r="F128" i="12"/>
  <c r="F127" i="12"/>
  <c r="F126" i="12"/>
  <c r="F123" i="12"/>
  <c r="F122" i="12"/>
  <c r="F121" i="12"/>
  <c r="F120" i="12"/>
  <c r="G120" i="12" s="1"/>
  <c r="F105" i="12"/>
  <c r="F104" i="12"/>
  <c r="F103" i="12"/>
  <c r="F102" i="12"/>
  <c r="F101" i="12"/>
  <c r="F100" i="12"/>
  <c r="F99" i="12"/>
  <c r="F98" i="12"/>
  <c r="F97" i="12"/>
  <c r="F96" i="12"/>
  <c r="F95" i="12"/>
  <c r="F94" i="12"/>
  <c r="F93" i="12"/>
  <c r="F92" i="12"/>
  <c r="F91" i="12"/>
  <c r="F90" i="12"/>
  <c r="F89" i="12"/>
  <c r="F86" i="12"/>
  <c r="F85" i="12"/>
  <c r="F84" i="12"/>
  <c r="F83" i="12"/>
  <c r="G83" i="12" s="1"/>
  <c r="H83" i="12" s="1"/>
  <c r="F68" i="12"/>
  <c r="F67" i="12"/>
  <c r="F66" i="12"/>
  <c r="F65" i="12"/>
  <c r="F64" i="12"/>
  <c r="F63" i="12"/>
  <c r="F62" i="12"/>
  <c r="F61" i="12"/>
  <c r="F60" i="12"/>
  <c r="F59" i="12"/>
  <c r="F58" i="12"/>
  <c r="F57" i="12"/>
  <c r="F56" i="12"/>
  <c r="F55" i="12"/>
  <c r="F54" i="12"/>
  <c r="F53" i="12"/>
  <c r="F52" i="12"/>
  <c r="F49" i="12"/>
  <c r="F48" i="12"/>
  <c r="F47" i="12"/>
  <c r="F46" i="12"/>
  <c r="G46" i="12" s="1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2" i="12"/>
  <c r="F9" i="12"/>
  <c r="G9" i="12" s="1"/>
  <c r="H9" i="12" s="1"/>
  <c r="F142" i="9"/>
  <c r="F141" i="9"/>
  <c r="F140" i="9"/>
  <c r="F139" i="9"/>
  <c r="F138" i="9"/>
  <c r="F137" i="9"/>
  <c r="F136" i="9"/>
  <c r="F135" i="9"/>
  <c r="F134" i="9"/>
  <c r="F133" i="9"/>
  <c r="F132" i="9"/>
  <c r="F131" i="9"/>
  <c r="F130" i="9"/>
  <c r="F129" i="9"/>
  <c r="F128" i="9"/>
  <c r="F127" i="9"/>
  <c r="F126" i="9"/>
  <c r="F123" i="9"/>
  <c r="F122" i="9"/>
  <c r="F121" i="9"/>
  <c r="F120" i="9"/>
  <c r="G120" i="9" s="1"/>
  <c r="F105" i="9"/>
  <c r="F104" i="9"/>
  <c r="F103" i="9"/>
  <c r="F102" i="9"/>
  <c r="F101" i="9"/>
  <c r="F100" i="9"/>
  <c r="F99" i="9"/>
  <c r="F98" i="9"/>
  <c r="F97" i="9"/>
  <c r="F96" i="9"/>
  <c r="F95" i="9"/>
  <c r="F94" i="9"/>
  <c r="F93" i="9"/>
  <c r="F92" i="9"/>
  <c r="F91" i="9"/>
  <c r="F90" i="9"/>
  <c r="F89" i="9"/>
  <c r="F86" i="9"/>
  <c r="F85" i="9"/>
  <c r="F84" i="9"/>
  <c r="F83" i="9"/>
  <c r="G83" i="9" s="1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49" i="9"/>
  <c r="F48" i="9"/>
  <c r="F47" i="9"/>
  <c r="F46" i="9"/>
  <c r="G46" i="9" s="1"/>
  <c r="H46" i="9" s="1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2" i="9"/>
  <c r="F11" i="9"/>
  <c r="F10" i="9"/>
  <c r="F142" i="11"/>
  <c r="F141" i="11"/>
  <c r="F140" i="11"/>
  <c r="F139" i="11"/>
  <c r="F138" i="11"/>
  <c r="F137" i="11"/>
  <c r="F136" i="11"/>
  <c r="F135" i="11"/>
  <c r="F134" i="11"/>
  <c r="F133" i="11"/>
  <c r="F132" i="11"/>
  <c r="F131" i="11"/>
  <c r="F130" i="11"/>
  <c r="F129" i="11"/>
  <c r="F128" i="11"/>
  <c r="F127" i="11"/>
  <c r="F126" i="11"/>
  <c r="F123" i="11"/>
  <c r="F122" i="11"/>
  <c r="F121" i="11"/>
  <c r="F120" i="11"/>
  <c r="G120" i="11" s="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6" i="11"/>
  <c r="F85" i="11"/>
  <c r="F84" i="11"/>
  <c r="F83" i="11"/>
  <c r="G83" i="11" s="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49" i="11"/>
  <c r="F48" i="11"/>
  <c r="F47" i="11"/>
  <c r="F46" i="11"/>
  <c r="G46" i="11" s="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2" i="11"/>
  <c r="F9" i="11"/>
  <c r="G9" i="11" s="1"/>
  <c r="F142" i="10"/>
  <c r="F141" i="10"/>
  <c r="F140" i="10"/>
  <c r="F139" i="10"/>
  <c r="F138" i="10"/>
  <c r="F137" i="10"/>
  <c r="F136" i="10"/>
  <c r="F135" i="10"/>
  <c r="F134" i="10"/>
  <c r="F133" i="10"/>
  <c r="F132" i="10"/>
  <c r="F131" i="10"/>
  <c r="F130" i="10"/>
  <c r="F129" i="10"/>
  <c r="F128" i="10"/>
  <c r="F127" i="10"/>
  <c r="F126" i="10"/>
  <c r="F123" i="10"/>
  <c r="F122" i="10"/>
  <c r="F121" i="10"/>
  <c r="F120" i="10"/>
  <c r="G120" i="10" s="1"/>
  <c r="F105" i="10"/>
  <c r="F104" i="10"/>
  <c r="F103" i="10"/>
  <c r="F102" i="10"/>
  <c r="F101" i="10"/>
  <c r="F100" i="10"/>
  <c r="F99" i="10"/>
  <c r="F98" i="10"/>
  <c r="F97" i="10"/>
  <c r="F96" i="10"/>
  <c r="F95" i="10"/>
  <c r="F94" i="10"/>
  <c r="F93" i="10"/>
  <c r="F92" i="10"/>
  <c r="F91" i="10"/>
  <c r="F90" i="10"/>
  <c r="F89" i="10"/>
  <c r="F86" i="10"/>
  <c r="F85" i="10"/>
  <c r="F84" i="10"/>
  <c r="F83" i="10"/>
  <c r="G83" i="10" s="1"/>
  <c r="F68" i="10"/>
  <c r="F67" i="10"/>
  <c r="F66" i="10"/>
  <c r="F65" i="10"/>
  <c r="F64" i="10"/>
  <c r="F63" i="10"/>
  <c r="F62" i="10"/>
  <c r="F61" i="10"/>
  <c r="F60" i="10"/>
  <c r="F59" i="10"/>
  <c r="F58" i="10"/>
  <c r="F57" i="10"/>
  <c r="F56" i="10"/>
  <c r="F55" i="10"/>
  <c r="F54" i="10"/>
  <c r="F53" i="10"/>
  <c r="F52" i="10"/>
  <c r="F49" i="10"/>
  <c r="F48" i="10"/>
  <c r="F47" i="10"/>
  <c r="F46" i="10"/>
  <c r="G46" i="10" s="1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2" i="10"/>
  <c r="F142" i="5"/>
  <c r="F141" i="5"/>
  <c r="F140" i="5"/>
  <c r="F139" i="5"/>
  <c r="F138" i="5"/>
  <c r="F137" i="5"/>
  <c r="F136" i="5"/>
  <c r="F135" i="5"/>
  <c r="F134" i="5"/>
  <c r="F133" i="5"/>
  <c r="F132" i="5"/>
  <c r="F131" i="5"/>
  <c r="F130" i="5"/>
  <c r="F129" i="5"/>
  <c r="F128" i="5"/>
  <c r="F127" i="5"/>
  <c r="F126" i="5"/>
  <c r="F123" i="5"/>
  <c r="F122" i="5"/>
  <c r="F121" i="5"/>
  <c r="F120" i="5"/>
  <c r="G120" i="5" s="1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6" i="5"/>
  <c r="F85" i="5"/>
  <c r="F84" i="5"/>
  <c r="F83" i="5"/>
  <c r="G83" i="5" s="1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49" i="5"/>
  <c r="F48" i="5"/>
  <c r="F47" i="5"/>
  <c r="F46" i="5"/>
  <c r="G46" i="5" s="1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2" i="5"/>
  <c r="F142" i="7"/>
  <c r="F141" i="7"/>
  <c r="F140" i="7"/>
  <c r="F139" i="7"/>
  <c r="F138" i="7"/>
  <c r="F137" i="7"/>
  <c r="F136" i="7"/>
  <c r="F135" i="7"/>
  <c r="F134" i="7"/>
  <c r="F133" i="7"/>
  <c r="F132" i="7"/>
  <c r="F131" i="7"/>
  <c r="F130" i="7"/>
  <c r="F129" i="7"/>
  <c r="F128" i="7"/>
  <c r="F127" i="7"/>
  <c r="F126" i="7"/>
  <c r="F123" i="7"/>
  <c r="F122" i="7"/>
  <c r="F121" i="7"/>
  <c r="F120" i="7"/>
  <c r="G120" i="7" s="1"/>
  <c r="H120" i="7" s="1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6" i="7"/>
  <c r="F85" i="7"/>
  <c r="F84" i="7"/>
  <c r="F83" i="7"/>
  <c r="G83" i="7" s="1"/>
  <c r="H83" i="7" s="1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49" i="7"/>
  <c r="F48" i="7"/>
  <c r="F47" i="7"/>
  <c r="F46" i="7"/>
  <c r="G46" i="7" s="1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2" i="7"/>
  <c r="K45" i="1" l="1"/>
  <c r="G47" i="9"/>
  <c r="H47" i="9" s="1"/>
  <c r="G126" i="9"/>
  <c r="G127" i="9" s="1"/>
  <c r="G128" i="9" s="1"/>
  <c r="G129" i="9" s="1"/>
  <c r="G130" i="9" s="1"/>
  <c r="G131" i="9" s="1"/>
  <c r="G132" i="9" s="1"/>
  <c r="G133" i="9" s="1"/>
  <c r="G134" i="9" s="1"/>
  <c r="G135" i="9" s="1"/>
  <c r="G136" i="9" s="1"/>
  <c r="G137" i="9" s="1"/>
  <c r="G138" i="9" s="1"/>
  <c r="G139" i="9" s="1"/>
  <c r="G140" i="9" s="1"/>
  <c r="G141" i="9" s="1"/>
  <c r="G142" i="9" s="1"/>
  <c r="G84" i="10"/>
  <c r="G85" i="10" s="1"/>
  <c r="G86" i="10" s="1"/>
  <c r="H86" i="10" s="1"/>
  <c r="K119" i="1"/>
  <c r="K82" i="1"/>
  <c r="H45" i="1"/>
  <c r="G46" i="1"/>
  <c r="K46" i="1" s="1"/>
  <c r="G83" i="1"/>
  <c r="K83" i="1" s="1"/>
  <c r="G120" i="1"/>
  <c r="K120" i="1" s="1"/>
  <c r="G84" i="12"/>
  <c r="G85" i="12" s="1"/>
  <c r="G86" i="12" s="1"/>
  <c r="G10" i="12"/>
  <c r="H10" i="12" s="1"/>
  <c r="G121" i="9"/>
  <c r="G122" i="9" s="1"/>
  <c r="G84" i="7"/>
  <c r="H46" i="12"/>
  <c r="G47" i="12"/>
  <c r="G121" i="12"/>
  <c r="H120" i="12"/>
  <c r="G10" i="9"/>
  <c r="G84" i="9"/>
  <c r="H120" i="9"/>
  <c r="G48" i="9"/>
  <c r="H9" i="11"/>
  <c r="G10" i="11"/>
  <c r="G84" i="11"/>
  <c r="H83" i="11"/>
  <c r="H46" i="11"/>
  <c r="G47" i="11"/>
  <c r="G121" i="11"/>
  <c r="H120" i="11"/>
  <c r="H120" i="10"/>
  <c r="G121" i="10"/>
  <c r="H9" i="10"/>
  <c r="G10" i="10"/>
  <c r="G47" i="10"/>
  <c r="H46" i="10"/>
  <c r="H83" i="10"/>
  <c r="G121" i="5"/>
  <c r="H120" i="5"/>
  <c r="G47" i="5"/>
  <c r="H46" i="5"/>
  <c r="G84" i="5"/>
  <c r="H83" i="5"/>
  <c r="H9" i="5"/>
  <c r="G10" i="5"/>
  <c r="G47" i="7"/>
  <c r="H46" i="7"/>
  <c r="G121" i="7"/>
  <c r="H121" i="7" s="1"/>
  <c r="G10" i="7"/>
  <c r="H9" i="7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3" i="4"/>
  <c r="F122" i="4"/>
  <c r="F121" i="4"/>
  <c r="F120" i="4"/>
  <c r="G120" i="4" s="1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6" i="4"/>
  <c r="F85" i="4"/>
  <c r="F84" i="4"/>
  <c r="F83" i="4"/>
  <c r="G83" i="4" s="1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47" i="4"/>
  <c r="F46" i="4"/>
  <c r="G46" i="4" s="1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2" i="4"/>
  <c r="F10" i="4"/>
  <c r="F9" i="4"/>
  <c r="G9" i="4" s="1"/>
  <c r="L10" i="1"/>
  <c r="L9" i="1"/>
  <c r="I10" i="1"/>
  <c r="I11" i="1" s="1"/>
  <c r="I12" i="1" s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2" i="1"/>
  <c r="F11" i="1"/>
  <c r="F10" i="1"/>
  <c r="F9" i="1"/>
  <c r="G9" i="1" s="1"/>
  <c r="G49" i="9" l="1"/>
  <c r="H49" i="9" s="1"/>
  <c r="H48" i="9"/>
  <c r="G85" i="7"/>
  <c r="H84" i="7"/>
  <c r="H84" i="12"/>
  <c r="H86" i="12"/>
  <c r="H84" i="10"/>
  <c r="G121" i="1"/>
  <c r="G122" i="1" s="1"/>
  <c r="G123" i="1" s="1"/>
  <c r="H120" i="1"/>
  <c r="H83" i="1"/>
  <c r="G84" i="1"/>
  <c r="G85" i="1" s="1"/>
  <c r="H46" i="1"/>
  <c r="G47" i="1"/>
  <c r="G48" i="1" s="1"/>
  <c r="G11" i="12"/>
  <c r="H121" i="9"/>
  <c r="G122" i="12"/>
  <c r="G123" i="12" s="1"/>
  <c r="H121" i="12"/>
  <c r="H47" i="12"/>
  <c r="G48" i="12"/>
  <c r="G49" i="12" s="1"/>
  <c r="H85" i="12"/>
  <c r="H84" i="9"/>
  <c r="G85" i="9"/>
  <c r="G86" i="9" s="1"/>
  <c r="H122" i="9"/>
  <c r="H10" i="9"/>
  <c r="G11" i="9"/>
  <c r="G12" i="9" s="1"/>
  <c r="G13" i="9" s="1"/>
  <c r="H47" i="11"/>
  <c r="G48" i="11"/>
  <c r="G49" i="11" s="1"/>
  <c r="H10" i="11"/>
  <c r="G11" i="11"/>
  <c r="G12" i="11" s="1"/>
  <c r="G13" i="11" s="1"/>
  <c r="G122" i="11"/>
  <c r="G123" i="11" s="1"/>
  <c r="H121" i="11"/>
  <c r="G85" i="11"/>
  <c r="G86" i="11" s="1"/>
  <c r="H84" i="11"/>
  <c r="G11" i="10"/>
  <c r="G12" i="10" s="1"/>
  <c r="G13" i="10" s="1"/>
  <c r="H10" i="10"/>
  <c r="H85" i="10"/>
  <c r="H47" i="10"/>
  <c r="G48" i="10"/>
  <c r="G49" i="10" s="1"/>
  <c r="G122" i="10"/>
  <c r="G123" i="10" s="1"/>
  <c r="H121" i="10"/>
  <c r="G11" i="5"/>
  <c r="G12" i="5" s="1"/>
  <c r="G13" i="5" s="1"/>
  <c r="H10" i="5"/>
  <c r="G85" i="5"/>
  <c r="G86" i="5" s="1"/>
  <c r="H84" i="5"/>
  <c r="H47" i="5"/>
  <c r="G48" i="5"/>
  <c r="G49" i="5" s="1"/>
  <c r="G122" i="5"/>
  <c r="G123" i="5" s="1"/>
  <c r="H121" i="5"/>
  <c r="G11" i="7"/>
  <c r="G12" i="7" s="1"/>
  <c r="G13" i="7" s="1"/>
  <c r="H10" i="7"/>
  <c r="G122" i="7"/>
  <c r="G48" i="7"/>
  <c r="G49" i="7" s="1"/>
  <c r="H47" i="7"/>
  <c r="G121" i="4"/>
  <c r="H120" i="4"/>
  <c r="G84" i="4"/>
  <c r="H83" i="4"/>
  <c r="G47" i="4"/>
  <c r="H46" i="4"/>
  <c r="H9" i="4"/>
  <c r="G10" i="4"/>
  <c r="G10" i="1"/>
  <c r="G11" i="1" s="1"/>
  <c r="H9" i="1"/>
  <c r="K9" i="1"/>
  <c r="G52" i="9" l="1"/>
  <c r="G53" i="9" s="1"/>
  <c r="G54" i="9" s="1"/>
  <c r="G55" i="9" s="1"/>
  <c r="G56" i="9" s="1"/>
  <c r="G57" i="9" s="1"/>
  <c r="G58" i="9" s="1"/>
  <c r="G59" i="9" s="1"/>
  <c r="G60" i="9" s="1"/>
  <c r="G61" i="9" s="1"/>
  <c r="G62" i="9" s="1"/>
  <c r="G63" i="9" s="1"/>
  <c r="G64" i="9" s="1"/>
  <c r="G65" i="9" s="1"/>
  <c r="G66" i="9" s="1"/>
  <c r="G67" i="9" s="1"/>
  <c r="G68" i="9" s="1"/>
  <c r="H13" i="9"/>
  <c r="G14" i="9"/>
  <c r="H14" i="9" s="1"/>
  <c r="G14" i="7"/>
  <c r="H14" i="7" s="1"/>
  <c r="H13" i="7"/>
  <c r="G89" i="10"/>
  <c r="G90" i="10" s="1"/>
  <c r="G91" i="10" s="1"/>
  <c r="G92" i="10" s="1"/>
  <c r="G93" i="10" s="1"/>
  <c r="G94" i="10" s="1"/>
  <c r="G95" i="10" s="1"/>
  <c r="G96" i="10" s="1"/>
  <c r="G97" i="10" s="1"/>
  <c r="G98" i="10" s="1"/>
  <c r="G99" i="10" s="1"/>
  <c r="G100" i="10" s="1"/>
  <c r="G101" i="10" s="1"/>
  <c r="G102" i="10" s="1"/>
  <c r="G103" i="10" s="1"/>
  <c r="G104" i="10" s="1"/>
  <c r="G105" i="10" s="1"/>
  <c r="H13" i="10"/>
  <c r="G14" i="10"/>
  <c r="H14" i="10" s="1"/>
  <c r="G14" i="5"/>
  <c r="H14" i="5" s="1"/>
  <c r="H13" i="5"/>
  <c r="H13" i="11"/>
  <c r="G14" i="11"/>
  <c r="H14" i="11" s="1"/>
  <c r="G89" i="12"/>
  <c r="G90" i="12" s="1"/>
  <c r="G91" i="12" s="1"/>
  <c r="G92" i="12" s="1"/>
  <c r="G93" i="12" s="1"/>
  <c r="G94" i="12" s="1"/>
  <c r="G95" i="12" s="1"/>
  <c r="G96" i="12" s="1"/>
  <c r="G97" i="12" s="1"/>
  <c r="G98" i="12" s="1"/>
  <c r="G99" i="12" s="1"/>
  <c r="G100" i="12" s="1"/>
  <c r="G101" i="12" s="1"/>
  <c r="G102" i="12" s="1"/>
  <c r="G103" i="12" s="1"/>
  <c r="G104" i="12" s="1"/>
  <c r="G105" i="12" s="1"/>
  <c r="K123" i="1"/>
  <c r="H123" i="1"/>
  <c r="H86" i="9"/>
  <c r="H122" i="7"/>
  <c r="G123" i="7"/>
  <c r="H12" i="7"/>
  <c r="H85" i="7"/>
  <c r="G86" i="7"/>
  <c r="H12" i="10"/>
  <c r="H123" i="10"/>
  <c r="H49" i="10"/>
  <c r="H123" i="5"/>
  <c r="H86" i="5"/>
  <c r="H86" i="11"/>
  <c r="H123" i="11"/>
  <c r="H12" i="11"/>
  <c r="H49" i="11"/>
  <c r="K85" i="1"/>
  <c r="H85" i="1"/>
  <c r="G124" i="1"/>
  <c r="K122" i="1"/>
  <c r="H122" i="1"/>
  <c r="G12" i="1"/>
  <c r="K48" i="1"/>
  <c r="H48" i="1"/>
  <c r="G51" i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H49" i="5"/>
  <c r="H12" i="5"/>
  <c r="H123" i="12"/>
  <c r="H49" i="12"/>
  <c r="H11" i="12"/>
  <c r="G12" i="12"/>
  <c r="G13" i="12" s="1"/>
  <c r="H12" i="9"/>
  <c r="H49" i="7"/>
  <c r="H121" i="1"/>
  <c r="K121" i="1"/>
  <c r="H84" i="1"/>
  <c r="K84" i="1"/>
  <c r="H47" i="1"/>
  <c r="K47" i="1"/>
  <c r="K11" i="1"/>
  <c r="K10" i="1"/>
  <c r="H10" i="1"/>
  <c r="H48" i="12"/>
  <c r="H122" i="12"/>
  <c r="H85" i="9"/>
  <c r="H11" i="9"/>
  <c r="H85" i="11"/>
  <c r="H122" i="11"/>
  <c r="H11" i="11"/>
  <c r="H48" i="11"/>
  <c r="H122" i="10"/>
  <c r="H48" i="10"/>
  <c r="H11" i="10"/>
  <c r="H122" i="5"/>
  <c r="H48" i="5"/>
  <c r="H85" i="5"/>
  <c r="H11" i="5"/>
  <c r="H11" i="7"/>
  <c r="H48" i="7"/>
  <c r="H121" i="4"/>
  <c r="G122" i="4"/>
  <c r="G123" i="4" s="1"/>
  <c r="G85" i="4"/>
  <c r="G86" i="4" s="1"/>
  <c r="H84" i="4"/>
  <c r="H47" i="4"/>
  <c r="G11" i="4"/>
  <c r="G12" i="4" s="1"/>
  <c r="G13" i="4" s="1"/>
  <c r="H10" i="4"/>
  <c r="H11" i="1"/>
  <c r="G126" i="12" l="1"/>
  <c r="G127" i="12" s="1"/>
  <c r="G128" i="12" s="1"/>
  <c r="G129" i="12" s="1"/>
  <c r="G130" i="12" s="1"/>
  <c r="G131" i="12" s="1"/>
  <c r="G132" i="12" s="1"/>
  <c r="G133" i="12" s="1"/>
  <c r="G134" i="12" s="1"/>
  <c r="G135" i="12" s="1"/>
  <c r="G136" i="12" s="1"/>
  <c r="G137" i="12" s="1"/>
  <c r="G138" i="12" s="1"/>
  <c r="G139" i="12" s="1"/>
  <c r="G140" i="12" s="1"/>
  <c r="G141" i="12" s="1"/>
  <c r="G142" i="12" s="1"/>
  <c r="G14" i="12"/>
  <c r="H14" i="12" s="1"/>
  <c r="H13" i="12"/>
  <c r="G126" i="10"/>
  <c r="G127" i="10" s="1"/>
  <c r="G128" i="10" s="1"/>
  <c r="G129" i="10" s="1"/>
  <c r="G130" i="10" s="1"/>
  <c r="G131" i="10" s="1"/>
  <c r="G132" i="10" s="1"/>
  <c r="G133" i="10" s="1"/>
  <c r="G134" i="10" s="1"/>
  <c r="G135" i="10" s="1"/>
  <c r="G136" i="10" s="1"/>
  <c r="G137" i="10" s="1"/>
  <c r="G138" i="10" s="1"/>
  <c r="G139" i="10" s="1"/>
  <c r="G140" i="10" s="1"/>
  <c r="G141" i="10" s="1"/>
  <c r="G142" i="10" s="1"/>
  <c r="G126" i="5"/>
  <c r="G127" i="5" s="1"/>
  <c r="G128" i="5" s="1"/>
  <c r="G129" i="5" s="1"/>
  <c r="G130" i="5" s="1"/>
  <c r="G131" i="5" s="1"/>
  <c r="G132" i="5" s="1"/>
  <c r="G133" i="5" s="1"/>
  <c r="G134" i="5" s="1"/>
  <c r="G135" i="5" s="1"/>
  <c r="G136" i="5" s="1"/>
  <c r="G137" i="5" s="1"/>
  <c r="G138" i="5" s="1"/>
  <c r="G139" i="5" s="1"/>
  <c r="G140" i="5" s="1"/>
  <c r="G141" i="5" s="1"/>
  <c r="G142" i="5" s="1"/>
  <c r="G126" i="11"/>
  <c r="G127" i="11" s="1"/>
  <c r="G128" i="11" s="1"/>
  <c r="G129" i="11" s="1"/>
  <c r="G130" i="11" s="1"/>
  <c r="G131" i="11" s="1"/>
  <c r="G132" i="11" s="1"/>
  <c r="G133" i="11" s="1"/>
  <c r="G134" i="11" s="1"/>
  <c r="G135" i="11" s="1"/>
  <c r="G136" i="11" s="1"/>
  <c r="G137" i="11" s="1"/>
  <c r="G138" i="11" s="1"/>
  <c r="G139" i="11" s="1"/>
  <c r="G140" i="11" s="1"/>
  <c r="G141" i="11" s="1"/>
  <c r="G142" i="11" s="1"/>
  <c r="H13" i="4"/>
  <c r="G14" i="4"/>
  <c r="H14" i="4" s="1"/>
  <c r="G125" i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K124" i="1"/>
  <c r="H124" i="1"/>
  <c r="G52" i="12"/>
  <c r="G53" i="12" s="1"/>
  <c r="G54" i="12" s="1"/>
  <c r="G55" i="12" s="1"/>
  <c r="G56" i="12" s="1"/>
  <c r="G57" i="12" s="1"/>
  <c r="G58" i="12" s="1"/>
  <c r="G59" i="12" s="1"/>
  <c r="G60" i="12" s="1"/>
  <c r="G61" i="12" s="1"/>
  <c r="G62" i="12" s="1"/>
  <c r="G63" i="12" s="1"/>
  <c r="G64" i="12" s="1"/>
  <c r="G65" i="12" s="1"/>
  <c r="G66" i="12" s="1"/>
  <c r="G67" i="12" s="1"/>
  <c r="G68" i="12" s="1"/>
  <c r="G89" i="9"/>
  <c r="G90" i="9" s="1"/>
  <c r="G91" i="9" s="1"/>
  <c r="G92" i="9" s="1"/>
  <c r="G93" i="9" s="1"/>
  <c r="G94" i="9" s="1"/>
  <c r="G95" i="9" s="1"/>
  <c r="G96" i="9" s="1"/>
  <c r="G97" i="9" s="1"/>
  <c r="G98" i="9" s="1"/>
  <c r="G99" i="9" s="1"/>
  <c r="G100" i="9" s="1"/>
  <c r="G101" i="9" s="1"/>
  <c r="G102" i="9" s="1"/>
  <c r="G103" i="9" s="1"/>
  <c r="G104" i="9" s="1"/>
  <c r="G105" i="9" s="1"/>
  <c r="G15" i="9"/>
  <c r="G16" i="9" s="1"/>
  <c r="G17" i="9" s="1"/>
  <c r="G18" i="9" s="1"/>
  <c r="G19" i="9" s="1"/>
  <c r="G20" i="9" s="1"/>
  <c r="G21" i="9" s="1"/>
  <c r="G22" i="9" s="1"/>
  <c r="G23" i="9" s="1"/>
  <c r="G24" i="9" s="1"/>
  <c r="G25" i="9" s="1"/>
  <c r="G26" i="9" s="1"/>
  <c r="G27" i="9" s="1"/>
  <c r="G28" i="9" s="1"/>
  <c r="G29" i="9" s="1"/>
  <c r="G30" i="9" s="1"/>
  <c r="G31" i="9" s="1"/>
  <c r="G52" i="7"/>
  <c r="G53" i="7" s="1"/>
  <c r="G54" i="7" s="1"/>
  <c r="G55" i="7" s="1"/>
  <c r="G56" i="7" s="1"/>
  <c r="G57" i="7" s="1"/>
  <c r="G58" i="7" s="1"/>
  <c r="G59" i="7" s="1"/>
  <c r="G60" i="7" s="1"/>
  <c r="G61" i="7" s="1"/>
  <c r="G62" i="7" s="1"/>
  <c r="G63" i="7" s="1"/>
  <c r="G64" i="7" s="1"/>
  <c r="G65" i="7" s="1"/>
  <c r="G66" i="7" s="1"/>
  <c r="G67" i="7" s="1"/>
  <c r="G68" i="7" s="1"/>
  <c r="G15" i="7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52" i="10"/>
  <c r="G53" i="10" s="1"/>
  <c r="G54" i="10" s="1"/>
  <c r="G55" i="10" s="1"/>
  <c r="G56" i="10" s="1"/>
  <c r="G57" i="10" s="1"/>
  <c r="G58" i="10" s="1"/>
  <c r="G59" i="10" s="1"/>
  <c r="G60" i="10" s="1"/>
  <c r="G61" i="10" s="1"/>
  <c r="G62" i="10" s="1"/>
  <c r="G63" i="10" s="1"/>
  <c r="G64" i="10" s="1"/>
  <c r="G65" i="10" s="1"/>
  <c r="G66" i="10" s="1"/>
  <c r="G67" i="10" s="1"/>
  <c r="G68" i="10" s="1"/>
  <c r="G15" i="10"/>
  <c r="G16" i="10" s="1"/>
  <c r="G17" i="10" s="1"/>
  <c r="G18" i="10" s="1"/>
  <c r="G19" i="10" s="1"/>
  <c r="G20" i="10" s="1"/>
  <c r="G21" i="10" s="1"/>
  <c r="G22" i="10" s="1"/>
  <c r="G23" i="10" s="1"/>
  <c r="G24" i="10" s="1"/>
  <c r="G25" i="10" s="1"/>
  <c r="G26" i="10" s="1"/>
  <c r="G27" i="10" s="1"/>
  <c r="G28" i="10" s="1"/>
  <c r="G29" i="10" s="1"/>
  <c r="G30" i="10" s="1"/>
  <c r="G31" i="10" s="1"/>
  <c r="G89" i="5"/>
  <c r="G90" i="5" s="1"/>
  <c r="G91" i="5" s="1"/>
  <c r="G92" i="5" s="1"/>
  <c r="G93" i="5" s="1"/>
  <c r="G94" i="5" s="1"/>
  <c r="G95" i="5" s="1"/>
  <c r="G96" i="5" s="1"/>
  <c r="G97" i="5" s="1"/>
  <c r="G98" i="5" s="1"/>
  <c r="G99" i="5" s="1"/>
  <c r="G100" i="5" s="1"/>
  <c r="G101" i="5" s="1"/>
  <c r="G102" i="5" s="1"/>
  <c r="G103" i="5" s="1"/>
  <c r="G104" i="5" s="1"/>
  <c r="G105" i="5" s="1"/>
  <c r="G52" i="5"/>
  <c r="G53" i="5" s="1"/>
  <c r="G54" i="5" s="1"/>
  <c r="G55" i="5" s="1"/>
  <c r="G56" i="5" s="1"/>
  <c r="G57" i="5" s="1"/>
  <c r="G58" i="5" s="1"/>
  <c r="G59" i="5" s="1"/>
  <c r="G60" i="5" s="1"/>
  <c r="G61" i="5" s="1"/>
  <c r="G62" i="5" s="1"/>
  <c r="G63" i="5" s="1"/>
  <c r="G64" i="5" s="1"/>
  <c r="G65" i="5" s="1"/>
  <c r="G66" i="5" s="1"/>
  <c r="G67" i="5" s="1"/>
  <c r="G68" i="5" s="1"/>
  <c r="G15" i="5"/>
  <c r="G16" i="5" s="1"/>
  <c r="G17" i="5" s="1"/>
  <c r="G18" i="5" s="1"/>
  <c r="G19" i="5" s="1"/>
  <c r="G20" i="5" s="1"/>
  <c r="G21" i="5" s="1"/>
  <c r="G22" i="5" s="1"/>
  <c r="G23" i="5" s="1"/>
  <c r="G24" i="5" s="1"/>
  <c r="G25" i="5" s="1"/>
  <c r="G26" i="5" s="1"/>
  <c r="G27" i="5" s="1"/>
  <c r="G28" i="5" s="1"/>
  <c r="G29" i="5" s="1"/>
  <c r="G30" i="5" s="1"/>
  <c r="G31" i="5" s="1"/>
  <c r="G89" i="11"/>
  <c r="G90" i="11" s="1"/>
  <c r="G91" i="11" s="1"/>
  <c r="G92" i="11" s="1"/>
  <c r="G93" i="11" s="1"/>
  <c r="G94" i="11" s="1"/>
  <c r="G95" i="11" s="1"/>
  <c r="G96" i="11" s="1"/>
  <c r="G97" i="11" s="1"/>
  <c r="G98" i="11" s="1"/>
  <c r="G99" i="11" s="1"/>
  <c r="G100" i="11" s="1"/>
  <c r="G101" i="11" s="1"/>
  <c r="G102" i="11" s="1"/>
  <c r="G103" i="11" s="1"/>
  <c r="G104" i="11" s="1"/>
  <c r="G105" i="11" s="1"/>
  <c r="G52" i="11"/>
  <c r="G53" i="11" s="1"/>
  <c r="G54" i="11" s="1"/>
  <c r="G55" i="11" s="1"/>
  <c r="G56" i="11" s="1"/>
  <c r="G57" i="11" s="1"/>
  <c r="G58" i="11" s="1"/>
  <c r="G59" i="11" s="1"/>
  <c r="G60" i="11" s="1"/>
  <c r="G61" i="11" s="1"/>
  <c r="G62" i="11" s="1"/>
  <c r="G63" i="11" s="1"/>
  <c r="G64" i="11" s="1"/>
  <c r="G65" i="11" s="1"/>
  <c r="G66" i="11" s="1"/>
  <c r="G67" i="11" s="1"/>
  <c r="G68" i="11" s="1"/>
  <c r="G15" i="11"/>
  <c r="G16" i="11" s="1"/>
  <c r="G17" i="11" s="1"/>
  <c r="G18" i="11" s="1"/>
  <c r="G19" i="11" s="1"/>
  <c r="G20" i="11" s="1"/>
  <c r="G21" i="11" s="1"/>
  <c r="G22" i="11" s="1"/>
  <c r="G23" i="11" s="1"/>
  <c r="G24" i="11" s="1"/>
  <c r="G25" i="11" s="1"/>
  <c r="G26" i="11" s="1"/>
  <c r="G27" i="11" s="1"/>
  <c r="G28" i="11" s="1"/>
  <c r="G29" i="11" s="1"/>
  <c r="G30" i="11" s="1"/>
  <c r="G31" i="11" s="1"/>
  <c r="G88" i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H86" i="4"/>
  <c r="H123" i="4"/>
  <c r="H86" i="7"/>
  <c r="H123" i="7"/>
  <c r="H12" i="1"/>
  <c r="K12" i="1"/>
  <c r="H12" i="4"/>
  <c r="H12" i="12"/>
  <c r="H122" i="4"/>
  <c r="H85" i="4"/>
  <c r="H11" i="4"/>
  <c r="G48" i="4"/>
  <c r="G89" i="7" l="1"/>
  <c r="G90" i="7" s="1"/>
  <c r="G91" i="7" s="1"/>
  <c r="G92" i="7" s="1"/>
  <c r="G93" i="7" s="1"/>
  <c r="G94" i="7" s="1"/>
  <c r="G95" i="7" s="1"/>
  <c r="G96" i="7" s="1"/>
  <c r="G97" i="7" s="1"/>
  <c r="G98" i="7" s="1"/>
  <c r="G99" i="7" s="1"/>
  <c r="G100" i="7" s="1"/>
  <c r="G101" i="7" s="1"/>
  <c r="G102" i="7" s="1"/>
  <c r="G103" i="7" s="1"/>
  <c r="G104" i="7" s="1"/>
  <c r="G105" i="7" s="1"/>
  <c r="G126" i="4"/>
  <c r="G127" i="4" s="1"/>
  <c r="G128" i="4" s="1"/>
  <c r="G129" i="4" s="1"/>
  <c r="G130" i="4" s="1"/>
  <c r="G131" i="4" s="1"/>
  <c r="G132" i="4" s="1"/>
  <c r="G133" i="4" s="1"/>
  <c r="G134" i="4" s="1"/>
  <c r="G135" i="4" s="1"/>
  <c r="G136" i="4" s="1"/>
  <c r="G137" i="4" s="1"/>
  <c r="G138" i="4" s="1"/>
  <c r="G139" i="4" s="1"/>
  <c r="G140" i="4" s="1"/>
  <c r="G141" i="4" s="1"/>
  <c r="G142" i="4" s="1"/>
  <c r="G15" i="12"/>
  <c r="G16" i="12" s="1"/>
  <c r="G17" i="12" s="1"/>
  <c r="G18" i="12" s="1"/>
  <c r="G19" i="12" s="1"/>
  <c r="G20" i="12" s="1"/>
  <c r="G21" i="12" s="1"/>
  <c r="G22" i="12" s="1"/>
  <c r="G23" i="12" s="1"/>
  <c r="G24" i="12" s="1"/>
  <c r="G25" i="12" s="1"/>
  <c r="G26" i="12" s="1"/>
  <c r="G27" i="12" s="1"/>
  <c r="G28" i="12" s="1"/>
  <c r="G29" i="12" s="1"/>
  <c r="G30" i="12" s="1"/>
  <c r="G31" i="12" s="1"/>
  <c r="G126" i="7"/>
  <c r="G127" i="7" s="1"/>
  <c r="G128" i="7" s="1"/>
  <c r="G129" i="7" s="1"/>
  <c r="G130" i="7" s="1"/>
  <c r="G131" i="7" s="1"/>
  <c r="G132" i="7" s="1"/>
  <c r="G133" i="7" s="1"/>
  <c r="G134" i="7" s="1"/>
  <c r="G135" i="7" s="1"/>
  <c r="G136" i="7" s="1"/>
  <c r="G137" i="7" s="1"/>
  <c r="G138" i="7" s="1"/>
  <c r="G139" i="7" s="1"/>
  <c r="G140" i="7" s="1"/>
  <c r="G141" i="7" s="1"/>
  <c r="G142" i="7" s="1"/>
  <c r="G89" i="4"/>
  <c r="G90" i="4" s="1"/>
  <c r="G91" i="4" s="1"/>
  <c r="G92" i="4" s="1"/>
  <c r="G93" i="4" s="1"/>
  <c r="G94" i="4" s="1"/>
  <c r="G95" i="4" s="1"/>
  <c r="G96" i="4" s="1"/>
  <c r="G97" i="4" s="1"/>
  <c r="G98" i="4" s="1"/>
  <c r="G99" i="4" s="1"/>
  <c r="G100" i="4" s="1"/>
  <c r="G101" i="4" s="1"/>
  <c r="G102" i="4" s="1"/>
  <c r="G103" i="4" s="1"/>
  <c r="G104" i="4" s="1"/>
  <c r="G105" i="4" s="1"/>
  <c r="G15" i="4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15" i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49" i="4"/>
  <c r="H48" i="4"/>
  <c r="H49" i="4" l="1"/>
  <c r="G52" i="4" l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A112" i="1" l="1"/>
  <c r="A112" i="1" a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<sst xmlns="http://schemas.openxmlformats.org/spreadsheetml/2006/main" count="2745" uniqueCount="91">
  <si>
    <t>PLEASE NOTE:</t>
  </si>
  <si>
    <t>The comparisons made with previous years are only indicative.</t>
  </si>
  <si>
    <t>It is only an indication of how the crop is delivered at commercial premises between years.</t>
  </si>
  <si>
    <t>The comparison is based on the WEEK NUMBER and not actual dates.</t>
  </si>
  <si>
    <t>The beginning and end dates of a week are therefore not the same for each year.</t>
  </si>
  <si>
    <t>TOTAL RAISINS: 
WEEKLY PRODUCER DELIVERIES</t>
  </si>
  <si>
    <t>Publication Date: 2026/02/26</t>
  </si>
  <si>
    <t>2026 Marketing Year</t>
  </si>
  <si>
    <t>Comparison with Previous Marketing Year</t>
  </si>
  <si>
    <t>Comparison with 3 Year Average</t>
  </si>
  <si>
    <t>1 January 2026 - 31 December 2026</t>
  </si>
  <si>
    <t>Week</t>
  </si>
  <si>
    <t>Week Ending</t>
  </si>
  <si>
    <t>Reported Deliveries</t>
  </si>
  <si>
    <t>Adjustments</t>
  </si>
  <si>
    <t>Week Total</t>
  </si>
  <si>
    <t>Cum. Total</t>
  </si>
  <si>
    <t>% Change from Previous Year</t>
  </si>
  <si>
    <t>Cum. Total 2025</t>
  </si>
  <si>
    <t>Current Year % Change from 3 Year Average</t>
  </si>
  <si>
    <t>3 Year Average Cum. Total 2023 - 2025</t>
  </si>
  <si>
    <t>KG</t>
  </si>
  <si>
    <t>19/01/2026 - 23/01/2026</t>
  </si>
  <si>
    <t>26/01/2026 - 30/01/2026</t>
  </si>
  <si>
    <t>02/02/2026 - 06/02/2026</t>
  </si>
  <si>
    <t>09/02/2026 - 13/02/2026</t>
  </si>
  <si>
    <t>16/02/2026 - 20/02/2026</t>
  </si>
  <si>
    <t>23/02/2026 - 27/02/2026</t>
  </si>
  <si>
    <t>09-13 March</t>
  </si>
  <si>
    <t>16-19 March</t>
  </si>
  <si>
    <t>23-27 March</t>
  </si>
  <si>
    <t>30 March - 3 Apr</t>
  </si>
  <si>
    <t>06-12 Apr</t>
  </si>
  <si>
    <t>13-17 Apr</t>
  </si>
  <si>
    <t>20-24 Apr</t>
  </si>
  <si>
    <t>27 Apr-1 May</t>
  </si>
  <si>
    <t>04 - 08 May</t>
  </si>
  <si>
    <t>11-15 May</t>
  </si>
  <si>
    <t>18-22 May</t>
  </si>
  <si>
    <t>25-29 May</t>
  </si>
  <si>
    <t>01-05 Jun</t>
  </si>
  <si>
    <t>08-12 Jun</t>
  </si>
  <si>
    <t>15 - 19 Jun</t>
  </si>
  <si>
    <t>22 - 26 Jun</t>
  </si>
  <si>
    <t>Footnotes:</t>
  </si>
  <si>
    <t>This information is reported by Raisins SA NPC as submitted by collaborators.</t>
  </si>
  <si>
    <t>Weekly producer deliveries were verified by means of the WEEKLY returns.</t>
  </si>
  <si>
    <t>Adjustments are made because of amendments and/or late returns.</t>
  </si>
  <si>
    <t>ORANGE RIVER</t>
  </si>
  <si>
    <t>TOTAL RAISINS: WEEKLY PRODUCER DELIVERIES</t>
  </si>
  <si>
    <t>02-06 March</t>
  </si>
  <si>
    <t>OLIFANTS RIVER</t>
  </si>
  <si>
    <t>NAMIBIA</t>
  </si>
  <si>
    <t>TOTAL THOMPSONS: WEEKLY PRODUCER DELIVERIES</t>
  </si>
  <si>
    <t>TOTAL FLAME: WEEKLY PRODUCER DELIVERIES</t>
  </si>
  <si>
    <t>TOTAL SA SULTANA: WEEKLY PRODUCER DELIVERIES</t>
  </si>
  <si>
    <t>TOTAL OR SULTANA: WEEKLY PRODUCER DELIVERIES</t>
  </si>
  <si>
    <t>TOTAL GOLDENS: WEEKLY PRODUCER DELIVERIES</t>
  </si>
  <si>
    <t>TOTAL CURRANTS: WEEKLY PRODUCER DELIVERIES</t>
  </si>
  <si>
    <t>-</t>
  </si>
  <si>
    <t>TOTAL OTHER TYPE: WEEKLY PRODUCER DELIVERIES</t>
  </si>
  <si>
    <t>TAKE NOTE: THOMPSON SELMA PETE SUGRA 39 IS PART OF THE THOMPSONS INTAKE PER TOTAL AND AREA</t>
  </si>
  <si>
    <t>THIS DATA IS JUST FOR ACKNOWLEGMENT</t>
  </si>
  <si>
    <t> </t>
  </si>
  <si>
    <t>TOTAL THOMPSON SELMA PETE SUGRA39: WEEKLY PRODUCER DELIVERIES</t>
  </si>
  <si>
    <t>TAKE NOTE: THOMPSON ORGANIC TYPE IS PART OF THE THOMPSON INTAKE PER TOTAL AND AREA</t>
  </si>
  <si>
    <t>TOTAL THOMPSON ORGANIC: WEEKLY PRODUCER DELIVERIES</t>
  </si>
  <si>
    <t>TAKE NOTE: JUMBO THOMPSON SEEDLESS TYPE IS PART OF THE THOMPSON INTAKE PER TOTAL AND AREA</t>
  </si>
  <si>
    <t>TOTAL JUMBO THOMPSON SEEDLESS: WEEKLY PRODUCER DELIVERIES</t>
  </si>
  <si>
    <t>TAKE NOTE: BLACK FLAME TYPE IS PART OF THE FLAME INTAKE PER TOTAL AND AREA</t>
  </si>
  <si>
    <t>TOTAL BLACK FLAME TYPE: WEEKLY PRODUCER DELIVERIES</t>
  </si>
  <si>
    <t>TAKE NOTE: JUMBO GOLDENS TYPE IS PART OF THE GOLDENS INTAKE PER TOTAL AND AREA</t>
  </si>
  <si>
    <t>TOTAL JUMBO GOLDENS: WEEKLY PRODUCER DELIVERIES</t>
  </si>
  <si>
    <t>Publication Date: 2026/03/05</t>
  </si>
  <si>
    <t>02/03/2026 - 06/03/2026</t>
  </si>
  <si>
    <t>09/03/2026 - 13/03/2026</t>
  </si>
  <si>
    <t>16/03/2026 - 19/03/2026</t>
  </si>
  <si>
    <t>23/03/2026 - 27/03/2026</t>
  </si>
  <si>
    <t>30/03/2026 - 03/04/2026</t>
  </si>
  <si>
    <t>06/04/2026 - 10/04/2026</t>
  </si>
  <si>
    <t>13/04/2026 - 17/04/2026</t>
  </si>
  <si>
    <t>20/04/2026 - 24/04/2026</t>
  </si>
  <si>
    <t>27/04/2026 - 01/05/2026</t>
  </si>
  <si>
    <t>04/05/2026 - 08/05/2026</t>
  </si>
  <si>
    <t>11/05/2026 - 15/05/2026</t>
  </si>
  <si>
    <t>18/05/2026 - 22/05/2026</t>
  </si>
  <si>
    <t>25/05/2026 - 29/05/2026</t>
  </si>
  <si>
    <t>01/06/2026 - 06/06/2026</t>
  </si>
  <si>
    <t>08/06/2026 - 12/06/2026</t>
  </si>
  <si>
    <t>15/06/2026 - 19/06/2026</t>
  </si>
  <si>
    <t>22/06/2026 - 26/06/2026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</si>
</sst>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.##"/>
  </numFmts>
  <fonts count="16" x14ac:knownFonts="1">
    <font>
      <sz val="11"/>
      <color rgb="FF000000"/>
      <name val="Arial Narrow"/>
    </font>
    <font>
      <sz val="11"/>
      <color theme="1"/>
      <name val="Calibri"/>
      <family val="2"/>
      <scheme val="minor"/>
    </font>
    <font>
      <b/>
      <sz val="12"/>
      <color rgb="FF000000"/>
      <name val="Aptos"/>
      <family val="2"/>
    </font>
    <font>
      <sz val="11"/>
      <color rgb="FF000000"/>
      <name val="Aptos"/>
      <family val="2"/>
    </font>
    <font>
      <b/>
      <i/>
      <sz val="11"/>
      <color rgb="FFD41727"/>
      <name val="Aptos"/>
      <family val="2"/>
    </font>
    <font>
      <b/>
      <sz val="10"/>
      <color rgb="FF000000"/>
      <name val="Aptos"/>
      <family val="2"/>
    </font>
    <font>
      <b/>
      <i/>
      <sz val="10"/>
      <color rgb="FF000000"/>
      <name val="Aptos"/>
      <family val="2"/>
    </font>
    <font>
      <sz val="10"/>
      <color rgb="FF000000"/>
      <name val="Aptos"/>
      <family val="2"/>
    </font>
    <font>
      <i/>
      <sz val="10"/>
      <color rgb="FF000000"/>
      <name val="Aptos"/>
      <family val="2"/>
    </font>
    <font>
      <sz val="10"/>
      <color theme="1"/>
      <name val="Aptos"/>
      <family val="2"/>
    </font>
    <font>
      <b/>
      <sz val="10"/>
      <color theme="1"/>
      <name val="Aptos"/>
      <family val="2"/>
    </font>
    <font>
      <b/>
      <sz val="16"/>
      <color rgb="FF000000"/>
      <name val="Aptos"/>
      <family val="2"/>
    </font>
    <font>
      <b/>
      <sz val="14"/>
      <color rgb="FF000000"/>
      <name val="Aptos"/>
      <family val="2"/>
    </font>
    <font>
      <sz val="14"/>
      <color rgb="FF000000"/>
      <name val="Aptos"/>
      <family val="2"/>
    </font>
    <font>
      <sz val="12"/>
      <color rgb="FF000000"/>
      <name val="Aptos"/>
      <family val="2"/>
    </font>
    <font>
      <b/>
      <i/>
      <sz val="11"/>
      <color rgb="FF000000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</fills>
  <borders count="28">
    <border>
      <left/>
      <right/>
      <top/>
      <bottom/>
      <diagonal/>
    </border>
    <border>
      <left style="thin">
        <color rgb="FF0A0101"/>
      </left>
      <right style="thin">
        <color rgb="FF0A0101"/>
      </right>
      <top/>
      <bottom style="thin">
        <color rgb="FF0A0101"/>
      </bottom>
      <diagonal/>
    </border>
    <border>
      <left style="thin">
        <color rgb="FF0A0101"/>
      </left>
      <right style="thin">
        <color rgb="FF0A0101"/>
      </right>
      <top style="thin">
        <color rgb="FF0A0101"/>
      </top>
      <bottom style="dotted">
        <color rgb="FF0A0101"/>
      </bottom>
      <diagonal/>
    </border>
    <border>
      <left style="thin">
        <color rgb="FF0A0101"/>
      </left>
      <right style="thin">
        <color rgb="FF0A0101"/>
      </right>
      <top style="dotted">
        <color rgb="FF0A0101"/>
      </top>
      <bottom style="dotted">
        <color rgb="FF0A0101"/>
      </bottom>
      <diagonal/>
    </border>
    <border>
      <left style="thin">
        <color rgb="FF0A0101"/>
      </left>
      <right style="thin">
        <color rgb="FF0A0101"/>
      </right>
      <top style="dotted">
        <color rgb="FF0A0101"/>
      </top>
      <bottom style="thin">
        <color rgb="FF0A0101"/>
      </bottom>
      <diagonal/>
    </border>
    <border>
      <left style="thin">
        <color rgb="FF0A0101"/>
      </left>
      <right style="thin">
        <color rgb="FF0A0101"/>
      </right>
      <top/>
      <bottom style="dotted">
        <color rgb="FF0A0101"/>
      </bottom>
      <diagonal/>
    </border>
    <border>
      <left style="thin">
        <color rgb="FF0A0101"/>
      </left>
      <right/>
      <top style="thin">
        <color rgb="FF0A0101"/>
      </top>
      <bottom style="thin">
        <color rgb="FF0A0101"/>
      </bottom>
      <diagonal/>
    </border>
    <border>
      <left/>
      <right/>
      <top style="thin">
        <color rgb="FF0A0101"/>
      </top>
      <bottom style="thin">
        <color rgb="FF0A0101"/>
      </bottom>
      <diagonal/>
    </border>
    <border>
      <left/>
      <right style="thin">
        <color rgb="FF0A0101"/>
      </right>
      <top style="thin">
        <color rgb="FF0A0101"/>
      </top>
      <bottom style="thin">
        <color rgb="FF0A0101"/>
      </bottom>
      <diagonal/>
    </border>
    <border>
      <left style="thin">
        <color rgb="FF0A010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A0101"/>
      </left>
      <right style="thin">
        <color rgb="FF0A0101"/>
      </right>
      <top/>
      <bottom/>
      <diagonal/>
    </border>
    <border>
      <left style="thin">
        <color rgb="FF0A010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A0101"/>
      </right>
      <top style="thin">
        <color indexed="64"/>
      </top>
      <bottom/>
      <diagonal/>
    </border>
    <border>
      <left style="thin">
        <color rgb="FF0A010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A010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A0101"/>
      </bottom>
      <diagonal/>
    </border>
    <border>
      <left/>
      <right style="thin">
        <color rgb="FF0A0101"/>
      </right>
      <top/>
      <bottom style="dotted">
        <color rgb="FF0A0101"/>
      </bottom>
      <diagonal/>
    </border>
    <border>
      <left style="thin">
        <color rgb="FF0A0101"/>
      </left>
      <right style="thin">
        <color rgb="FF000000"/>
      </right>
      <top style="dotted">
        <color rgb="FF0A0101"/>
      </top>
      <bottom style="dotted">
        <color rgb="FF0A0101"/>
      </bottom>
      <diagonal/>
    </border>
    <border>
      <left style="thin">
        <color rgb="FF0A0101"/>
      </left>
      <right/>
      <top/>
      <bottom style="thin">
        <color rgb="FF0A0101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A0101"/>
      </left>
      <right style="thin">
        <color rgb="FF000000"/>
      </right>
      <top/>
      <bottom style="thin">
        <color rgb="FF0A0101"/>
      </bottom>
      <diagonal/>
    </border>
    <border>
      <left/>
      <right style="thin">
        <color rgb="FF000000"/>
      </right>
      <top style="thin">
        <color rgb="FF0A0101"/>
      </top>
      <bottom style="thin">
        <color rgb="FF0A0101"/>
      </bottom>
      <diagonal/>
    </border>
    <border>
      <left style="thin">
        <color rgb="FF0A0101"/>
      </left>
      <right style="thin">
        <color rgb="FF000000"/>
      </right>
      <top style="dotted">
        <color rgb="FF0A0101"/>
      </top>
      <bottom style="thin">
        <color rgb="FF0A010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8">
    <xf numFmtId="0" fontId="0" fillId="0" borderId="0" xfId="0"/>
    <xf numFmtId="0" fontId="3" fillId="2" borderId="0" xfId="0" applyFont="1" applyFill="1"/>
    <xf numFmtId="0" fontId="4" fillId="0" borderId="0" xfId="0" applyFont="1"/>
    <xf numFmtId="0" fontId="3" fillId="0" borderId="0" xfId="0" applyFont="1"/>
    <xf numFmtId="0" fontId="5" fillId="2" borderId="0" xfId="0" applyFont="1" applyFill="1"/>
    <xf numFmtId="0" fontId="7" fillId="2" borderId="0" xfId="0" applyFont="1" applyFill="1"/>
    <xf numFmtId="3" fontId="7" fillId="2" borderId="0" xfId="0" applyNumberFormat="1" applyFont="1" applyFill="1"/>
    <xf numFmtId="165" fontId="7" fillId="2" borderId="0" xfId="0" applyNumberFormat="1" applyFont="1" applyFill="1"/>
    <xf numFmtId="0" fontId="6" fillId="2" borderId="0" xfId="0" applyFont="1" applyFill="1"/>
    <xf numFmtId="0" fontId="8" fillId="2" borderId="0" xfId="0" applyFont="1" applyFill="1"/>
    <xf numFmtId="0" fontId="7" fillId="0" borderId="0" xfId="0" applyFont="1"/>
    <xf numFmtId="0" fontId="5" fillId="2" borderId="3" xfId="0" applyFont="1" applyFill="1" applyBorder="1"/>
    <xf numFmtId="165" fontId="8" fillId="0" borderId="3" xfId="0" applyNumberFormat="1" applyFont="1" applyBorder="1"/>
    <xf numFmtId="0" fontId="5" fillId="2" borderId="16" xfId="0" applyFont="1" applyFill="1" applyBorder="1"/>
    <xf numFmtId="0" fontId="5" fillId="2" borderId="17" xfId="0" applyFont="1" applyFill="1" applyBorder="1"/>
    <xf numFmtId="0" fontId="5" fillId="2" borderId="13" xfId="0" applyFont="1" applyFill="1" applyBorder="1"/>
    <xf numFmtId="0" fontId="5" fillId="2" borderId="14" xfId="0" applyFont="1" applyFill="1" applyBorder="1"/>
    <xf numFmtId="0" fontId="10" fillId="0" borderId="10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 wrapText="1"/>
    </xf>
    <xf numFmtId="0" fontId="10" fillId="0" borderId="11" xfId="0" applyFont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5" fillId="0" borderId="0" xfId="0" applyFont="1"/>
    <xf numFmtId="3" fontId="7" fillId="0" borderId="5" xfId="0" applyNumberFormat="1" applyFont="1" applyBorder="1"/>
    <xf numFmtId="0" fontId="7" fillId="0" borderId="9" xfId="0" applyFont="1" applyBorder="1"/>
    <xf numFmtId="3" fontId="7" fillId="0" borderId="2" xfId="0" applyNumberFormat="1" applyFont="1" applyBorder="1"/>
    <xf numFmtId="4" fontId="7" fillId="0" borderId="3" xfId="0" applyNumberFormat="1" applyFont="1" applyBorder="1"/>
    <xf numFmtId="4" fontId="5" fillId="0" borderId="3" xfId="0" applyNumberFormat="1" applyFont="1" applyBorder="1"/>
    <xf numFmtId="3" fontId="7" fillId="0" borderId="3" xfId="0" applyNumberFormat="1" applyFont="1" applyBorder="1"/>
    <xf numFmtId="0" fontId="2" fillId="2" borderId="0" xfId="0" applyFont="1" applyFill="1"/>
    <xf numFmtId="0" fontId="5" fillId="2" borderId="4" xfId="0" applyFont="1" applyFill="1" applyBorder="1"/>
    <xf numFmtId="0" fontId="10" fillId="0" borderId="19" xfId="0" applyFont="1" applyBorder="1" applyAlignment="1">
      <alignment horizontal="right" vertical="center"/>
    </xf>
    <xf numFmtId="4" fontId="7" fillId="0" borderId="4" xfId="0" applyNumberFormat="1" applyFont="1" applyBorder="1"/>
    <xf numFmtId="4" fontId="5" fillId="0" borderId="4" xfId="0" applyNumberFormat="1" applyFont="1" applyBorder="1"/>
    <xf numFmtId="165" fontId="8" fillId="0" borderId="4" xfId="0" applyNumberFormat="1" applyFont="1" applyBorder="1"/>
    <xf numFmtId="3" fontId="7" fillId="0" borderId="4" xfId="0" applyNumberFormat="1" applyFont="1" applyBorder="1"/>
    <xf numFmtId="0" fontId="13" fillId="0" borderId="0" xfId="0" applyFont="1"/>
    <xf numFmtId="0" fontId="12" fillId="2" borderId="0" xfId="0" applyFont="1" applyFill="1"/>
    <xf numFmtId="0" fontId="13" fillId="2" borderId="0" xfId="0" applyFont="1" applyFill="1"/>
    <xf numFmtId="0" fontId="14" fillId="0" borderId="0" xfId="0" applyFont="1"/>
    <xf numFmtId="0" fontId="14" fillId="2" borderId="0" xfId="0" applyFont="1" applyFill="1"/>
    <xf numFmtId="4" fontId="3" fillId="0" borderId="0" xfId="0" applyNumberFormat="1" applyFont="1"/>
    <xf numFmtId="0" fontId="9" fillId="0" borderId="10" xfId="0" applyFont="1" applyBorder="1" applyAlignment="1">
      <alignment horizontal="right" vertical="center"/>
    </xf>
    <xf numFmtId="3" fontId="3" fillId="0" borderId="0" xfId="0" applyNumberFormat="1" applyFont="1"/>
    <xf numFmtId="0" fontId="5" fillId="2" borderId="3" xfId="0" applyFont="1" applyFill="1" applyBorder="1" applyAlignment="1">
      <alignment horizontal="center"/>
    </xf>
    <xf numFmtId="0" fontId="15" fillId="6" borderId="0" xfId="0" applyFont="1" applyFill="1"/>
    <xf numFmtId="0" fontId="15" fillId="6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0" fontId="7" fillId="2" borderId="0" xfId="0" applyFont="1" applyFill="1" applyAlignment="1">
      <alignment horizontal="right"/>
    </xf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2" borderId="5" xfId="0" applyFont="1" applyFill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right"/>
    </xf>
    <xf numFmtId="3" fontId="3" fillId="2" borderId="0" xfId="0" applyNumberFormat="1" applyFont="1" applyFill="1"/>
    <xf numFmtId="4" fontId="7" fillId="0" borderId="0" xfId="0" applyNumberFormat="1" applyFont="1"/>
    <xf numFmtId="0" fontId="12" fillId="2" borderId="0" xfId="0" applyFont="1" applyFill="1" applyAlignment="1">
      <alignment horizontal="right"/>
    </xf>
    <xf numFmtId="0" fontId="7" fillId="0" borderId="10" xfId="0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6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3" fontId="7" fillId="0" borderId="0" xfId="0" applyNumberFormat="1" applyFont="1"/>
    <xf numFmtId="3" fontId="5" fillId="0" borderId="5" xfId="0" applyNumberFormat="1" applyFont="1" applyBorder="1"/>
    <xf numFmtId="3" fontId="8" fillId="0" borderId="5" xfId="0" applyNumberFormat="1" applyFont="1" applyBorder="1"/>
    <xf numFmtId="3" fontId="7" fillId="0" borderId="9" xfId="0" applyNumberFormat="1" applyFont="1" applyBorder="1"/>
    <xf numFmtId="3" fontId="8" fillId="0" borderId="2" xfId="0" applyNumberFormat="1" applyFont="1" applyBorder="1"/>
    <xf numFmtId="3" fontId="5" fillId="0" borderId="3" xfId="0" applyNumberFormat="1" applyFont="1" applyBorder="1"/>
    <xf numFmtId="3" fontId="8" fillId="0" borderId="3" xfId="0" applyNumberFormat="1" applyFont="1" applyBorder="1"/>
    <xf numFmtId="3" fontId="5" fillId="8" borderId="3" xfId="0" applyNumberFormat="1" applyFont="1" applyFill="1" applyBorder="1"/>
    <xf numFmtId="3" fontId="5" fillId="9" borderId="3" xfId="0" applyNumberFormat="1" applyFont="1" applyFill="1" applyBorder="1"/>
    <xf numFmtId="3" fontId="5" fillId="10" borderId="3" xfId="0" applyNumberFormat="1" applyFont="1" applyFill="1" applyBorder="1"/>
    <xf numFmtId="3" fontId="5" fillId="5" borderId="3" xfId="0" applyNumberFormat="1" applyFont="1" applyFill="1" applyBorder="1"/>
    <xf numFmtId="1" fontId="9" fillId="0" borderId="10" xfId="0" applyNumberFormat="1" applyFont="1" applyBorder="1" applyAlignment="1">
      <alignment horizontal="right" vertical="center"/>
    </xf>
    <xf numFmtId="1" fontId="7" fillId="0" borderId="5" xfId="0" applyNumberFormat="1" applyFont="1" applyBorder="1"/>
    <xf numFmtId="1" fontId="5" fillId="0" borderId="5" xfId="0" applyNumberFormat="1" applyFont="1" applyBorder="1"/>
    <xf numFmtId="1" fontId="8" fillId="0" borderId="5" xfId="0" applyNumberFormat="1" applyFont="1" applyBorder="1"/>
    <xf numFmtId="1" fontId="7" fillId="0" borderId="3" xfId="0" applyNumberFormat="1" applyFont="1" applyBorder="1"/>
    <xf numFmtId="1" fontId="5" fillId="0" borderId="3" xfId="0" applyNumberFormat="1" applyFont="1" applyBorder="1"/>
    <xf numFmtId="1" fontId="8" fillId="0" borderId="3" xfId="0" applyNumberFormat="1" applyFont="1" applyBorder="1"/>
    <xf numFmtId="3" fontId="15" fillId="6" borderId="0" xfId="0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3" fontId="5" fillId="0" borderId="1" xfId="0" applyNumberFormat="1" applyFont="1" applyBorder="1" applyAlignment="1">
      <alignment horizontal="center"/>
    </xf>
    <xf numFmtId="3" fontId="5" fillId="0" borderId="25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right"/>
    </xf>
    <xf numFmtId="3" fontId="5" fillId="0" borderId="20" xfId="0" applyNumberFormat="1" applyFont="1" applyBorder="1" applyAlignment="1">
      <alignment horizontal="right"/>
    </xf>
    <xf numFmtId="3" fontId="7" fillId="0" borderId="20" xfId="0" applyNumberFormat="1" applyFont="1" applyBorder="1" applyAlignment="1">
      <alignment horizontal="right"/>
    </xf>
    <xf numFmtId="3" fontId="7" fillId="0" borderId="21" xfId="0" applyNumberFormat="1" applyFont="1" applyBorder="1"/>
    <xf numFmtId="3" fontId="7" fillId="2" borderId="0" xfId="0" applyNumberFormat="1" applyFont="1" applyFill="1" applyAlignment="1">
      <alignment horizontal="right"/>
    </xf>
    <xf numFmtId="3" fontId="8" fillId="2" borderId="0" xfId="0" applyNumberFormat="1" applyFont="1" applyFill="1" applyAlignment="1">
      <alignment horizontal="right"/>
    </xf>
    <xf numFmtId="3" fontId="7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3" fontId="2" fillId="2" borderId="0" xfId="0" applyNumberFormat="1" applyFont="1" applyFill="1"/>
    <xf numFmtId="3" fontId="5" fillId="2" borderId="0" xfId="0" applyNumberFormat="1" applyFont="1" applyFill="1"/>
    <xf numFmtId="3" fontId="5" fillId="0" borderId="0" xfId="0" applyNumberFormat="1" applyFont="1"/>
    <xf numFmtId="3" fontId="5" fillId="0" borderId="4" xfId="0" applyNumberFormat="1" applyFont="1" applyBorder="1"/>
    <xf numFmtId="3" fontId="8" fillId="0" borderId="4" xfId="0" applyNumberFormat="1" applyFont="1" applyBorder="1"/>
    <xf numFmtId="3" fontId="14" fillId="0" borderId="0" xfId="0" applyNumberFormat="1" applyFont="1"/>
    <xf numFmtId="2" fontId="0" fillId="0" borderId="0" xfId="0" applyNumberFormat="1"/>
    <xf numFmtId="4" fontId="0" fillId="0" borderId="0" xfId="0" applyNumberFormat="1"/>
    <xf numFmtId="3" fontId="15" fillId="6" borderId="0" xfId="0" applyNumberFormat="1" applyFont="1" applyFill="1"/>
    <xf numFmtId="3" fontId="8" fillId="0" borderId="0" xfId="0" applyNumberFormat="1" applyFont="1"/>
    <xf numFmtId="3" fontId="8" fillId="2" borderId="0" xfId="0" applyNumberFormat="1" applyFont="1" applyFill="1"/>
    <xf numFmtId="3" fontId="15" fillId="0" borderId="0" xfId="0" applyNumberFormat="1" applyFont="1"/>
    <xf numFmtId="3" fontId="0" fillId="0" borderId="0" xfId="0" applyNumberFormat="1"/>
    <xf numFmtId="0" fontId="9" fillId="0" borderId="10" xfId="0" applyFont="1" applyBorder="1" applyAlignment="1">
      <alignment horizontal="right" vertical="center" wrapText="1"/>
    </xf>
    <xf numFmtId="0" fontId="9" fillId="0" borderId="11" xfId="0" applyFont="1" applyBorder="1" applyAlignment="1">
      <alignment horizontal="right" vertical="center"/>
    </xf>
    <xf numFmtId="3" fontId="7" fillId="0" borderId="27" xfId="0" applyNumberFormat="1" applyFont="1" applyBorder="1"/>
    <xf numFmtId="0" fontId="5" fillId="2" borderId="0" xfId="0" applyFont="1" applyFill="1" applyAlignment="1">
      <alignment horizontal="center"/>
    </xf>
    <xf numFmtId="0" fontId="9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11" fillId="4" borderId="0" xfId="0" applyNumberFormat="1" applyFont="1" applyFill="1" applyAlignment="1">
      <alignment horizontal="center" vertical="center" wrapText="1"/>
    </xf>
    <xf numFmtId="3" fontId="11" fillId="4" borderId="0" xfId="0" applyNumberFormat="1" applyFont="1" applyFill="1" applyAlignment="1">
      <alignment horizontal="center" vertical="center"/>
    </xf>
    <xf numFmtId="3" fontId="12" fillId="9" borderId="0" xfId="0" applyNumberFormat="1" applyFont="1" applyFill="1" applyAlignment="1">
      <alignment horizontal="center"/>
    </xf>
    <xf numFmtId="3" fontId="11" fillId="3" borderId="0" xfId="0" applyNumberFormat="1" applyFont="1" applyFill="1" applyAlignment="1">
      <alignment horizontal="center"/>
    </xf>
    <xf numFmtId="3" fontId="5" fillId="2" borderId="1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3" fontId="5" fillId="2" borderId="15" xfId="0" applyNumberFormat="1" applyFont="1" applyFill="1" applyBorder="1" applyAlignment="1">
      <alignment horizontal="center"/>
    </xf>
    <xf numFmtId="3" fontId="5" fillId="2" borderId="13" xfId="0" applyNumberFormat="1" applyFont="1" applyFill="1" applyBorder="1" applyAlignment="1">
      <alignment horizontal="center" vertical="center" wrapText="1"/>
    </xf>
    <xf numFmtId="3" fontId="5" fillId="2" borderId="15" xfId="0" applyNumberFormat="1" applyFont="1" applyFill="1" applyBorder="1" applyAlignment="1">
      <alignment horizontal="center" vertical="center" wrapText="1"/>
    </xf>
    <xf numFmtId="3" fontId="5" fillId="2" borderId="16" xfId="0" applyNumberFormat="1" applyFont="1" applyFill="1" applyBorder="1" applyAlignment="1">
      <alignment horizontal="center" vertical="center" wrapText="1"/>
    </xf>
    <xf numFmtId="3" fontId="5" fillId="2" borderId="18" xfId="0" applyNumberFormat="1" applyFont="1" applyFill="1" applyBorder="1" applyAlignment="1">
      <alignment horizontal="center" vertical="center" wrapText="1"/>
    </xf>
    <xf numFmtId="3" fontId="5" fillId="2" borderId="16" xfId="0" applyNumberFormat="1" applyFont="1" applyFill="1" applyBorder="1" applyAlignment="1">
      <alignment horizontal="center"/>
    </xf>
    <xf numFmtId="3" fontId="5" fillId="2" borderId="17" xfId="0" applyNumberFormat="1" applyFont="1" applyFill="1" applyBorder="1" applyAlignment="1">
      <alignment horizontal="center"/>
    </xf>
    <xf numFmtId="3" fontId="5" fillId="2" borderId="18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3" fontId="5" fillId="0" borderId="6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12" fillId="10" borderId="0" xfId="0" applyNumberFormat="1" applyFont="1" applyFill="1" applyAlignment="1">
      <alignment horizontal="center"/>
    </xf>
    <xf numFmtId="3" fontId="11" fillId="7" borderId="0" xfId="0" applyNumberFormat="1" applyFont="1" applyFill="1" applyAlignment="1">
      <alignment horizontal="center"/>
    </xf>
    <xf numFmtId="3" fontId="12" fillId="5" borderId="0" xfId="0" applyNumberFormat="1" applyFont="1" applyFill="1" applyAlignment="1">
      <alignment horizontal="center"/>
    </xf>
    <xf numFmtId="3" fontId="11" fillId="6" borderId="0" xfId="0" applyNumberFormat="1" applyFont="1" applyFill="1" applyAlignment="1">
      <alignment horizontal="center"/>
    </xf>
    <xf numFmtId="3" fontId="12" fillId="4" borderId="0" xfId="0" applyNumberFormat="1" applyFont="1" applyFill="1" applyAlignment="1">
      <alignment horizontal="center"/>
    </xf>
    <xf numFmtId="3" fontId="5" fillId="0" borderId="6" xfId="0" applyNumberFormat="1" applyFont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3" fontId="5" fillId="0" borderId="8" xfId="0" applyNumberFormat="1" applyFont="1" applyBorder="1" applyAlignment="1">
      <alignment horizontal="center"/>
    </xf>
    <xf numFmtId="3" fontId="2" fillId="3" borderId="0" xfId="0" applyNumberFormat="1" applyFont="1" applyFill="1" applyAlignment="1">
      <alignment horizontal="center"/>
    </xf>
    <xf numFmtId="3" fontId="2" fillId="6" borderId="0" xfId="0" applyNumberFormat="1" applyFont="1" applyFill="1" applyAlignment="1">
      <alignment horizontal="center"/>
    </xf>
    <xf numFmtId="3" fontId="2" fillId="7" borderId="0" xfId="0" applyNumberFormat="1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2" fillId="9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2" fillId="10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12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3" fontId="12" fillId="3" borderId="0" xfId="0" applyNumberFormat="1" applyFont="1" applyFill="1" applyAlignment="1">
      <alignment horizontal="center"/>
    </xf>
    <xf numFmtId="3" fontId="12" fillId="7" borderId="0" xfId="0" applyNumberFormat="1" applyFont="1" applyFill="1" applyAlignment="1">
      <alignment horizontal="center"/>
    </xf>
    <xf numFmtId="3" fontId="12" fillId="6" borderId="0" xfId="0" applyNumberFormat="1" applyFont="1" applyFill="1" applyAlignment="1">
      <alignment horizontal="center"/>
    </xf>
    <xf numFmtId="3" fontId="6" fillId="0" borderId="9" xfId="0" applyNumberFormat="1" applyFont="1" applyBorder="1" applyAlignment="1">
      <alignment wrapText="1"/>
    </xf>
    <xf numFmtId="3" fontId="5" fillId="0" borderId="26" xfId="0" applyNumberFormat="1" applyFont="1" applyBorder="1" applyAlignment="1">
      <alignment horizontal="center"/>
    </xf>
    <xf numFmtId="3" fontId="12" fillId="6" borderId="0" xfId="0" applyNumberFormat="1" applyFont="1" applyFill="1"/>
    <xf numFmtId="3" fontId="2" fillId="6" borderId="0" xfId="0" applyNumberFormat="1" applyFont="1" applyFill="1"/>
    <xf numFmtId="3" fontId="5" fillId="2" borderId="23" xfId="0" applyNumberFormat="1" applyFont="1" applyFill="1" applyBorder="1" applyAlignment="1">
      <alignment horizontal="center"/>
    </xf>
    <xf numFmtId="3" fontId="5" fillId="2" borderId="9" xfId="0" applyNumberFormat="1" applyFont="1" applyFill="1" applyBorder="1" applyAlignment="1">
      <alignment wrapText="1"/>
    </xf>
    <xf numFmtId="3" fontId="5" fillId="2" borderId="24" xfId="0" applyNumberFormat="1" applyFont="1" applyFill="1" applyBorder="1" applyAlignment="1">
      <alignment horizontal="center"/>
    </xf>
    <xf numFmtId="3" fontId="12" fillId="7" borderId="0" xfId="0" applyNumberFormat="1" applyFont="1" applyFill="1"/>
    <xf numFmtId="3" fontId="2" fillId="7" borderId="0" xfId="0" applyNumberFormat="1" applyFont="1" applyFill="1"/>
    <xf numFmtId="3" fontId="12" fillId="3" borderId="0" xfId="0" applyNumberFormat="1" applyFont="1" applyFill="1"/>
    <xf numFmtId="3" fontId="2" fillId="3" borderId="0" xfId="0" applyNumberFormat="1" applyFont="1" applyFill="1"/>
    <xf numFmtId="3" fontId="2" fillId="4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</cellXfs>
  <cellStyles count="2">
    <cellStyle name="Comma 2 70" xfId="1" xr:uid="{46010E02-A7EF-4B2B-911F-C2DC324CA382}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eetMetadata" Target="metadata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Weekly Raisin intakes in kilogram for 2025, 2026 and a 3 Year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Raisins'!$B$9:$B$14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cat>
          <c:val>
            <c:numRef>
              <c:f>'Total Raisins'!$G$9:$G$14</c:f>
              <c:numCache>
                <c:formatCode>#,##0</c:formatCode>
                <c:ptCount val="6"/>
                <c:pt idx="0">
                  <c:v>1795192.45</c:v>
                </c:pt>
                <c:pt idx="1">
                  <c:v>8228615.3700000001</c:v>
                </c:pt>
                <c:pt idx="2">
                  <c:v>17796770.760000002</c:v>
                </c:pt>
                <c:pt idx="3">
                  <c:v>26998744.18</c:v>
                </c:pt>
                <c:pt idx="4">
                  <c:v>35408591.25</c:v>
                </c:pt>
                <c:pt idx="5">
                  <c:v>42059265.18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C2-4B24-B7D2-8496CE03DA78}"/>
            </c:ext>
          </c:extLst>
        </c:ser>
        <c:ser>
          <c:idx val="1"/>
          <c:order val="1"/>
          <c:tx>
            <c:strRef>
              <c:f>{"2025"}</c:f>
              <c:strCache>
                <c:ptCount val="1"/>
                <c:pt idx="0">
                  <c:v>2025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Raisins'!$B$9:$B$14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cat>
          <c:val>
            <c:numRef>
              <c:f>'Total Raisins'!$I$9:$I$14</c:f>
              <c:numCache>
                <c:formatCode>#,##0</c:formatCode>
                <c:ptCount val="6"/>
                <c:pt idx="0">
                  <c:v>701403.25</c:v>
                </c:pt>
                <c:pt idx="1">
                  <c:v>5791930.6799999997</c:v>
                </c:pt>
                <c:pt idx="2">
                  <c:v>10400109.140000001</c:v>
                </c:pt>
                <c:pt idx="3">
                  <c:v>17744424.920000002</c:v>
                </c:pt>
                <c:pt idx="4">
                  <c:v>26635301.34</c:v>
                </c:pt>
                <c:pt idx="5">
                  <c:v>35413829.810000002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C2-4B24-B7D2-8496CE03DA78}"/>
            </c:ext>
          </c:extLst>
        </c:ser>
        <c:ser>
          <c:idx val="2"/>
          <c:order val="2"/>
          <c:tx>
            <c:strRef>
              <c:f>{"3 Year Average "}</c:f>
              <c:strCache>
                <c:ptCount val="1"/>
                <c:pt idx="0">
                  <c:v>3 Year Average 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Raisins'!$B$9:$B$14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cat>
          <c:val>
            <c:numRef>
              <c:f>'Total Raisins'!$L$9:$L$14</c:f>
              <c:numCache>
                <c:formatCode>#,##0</c:formatCode>
                <c:ptCount val="6"/>
                <c:pt idx="0">
                  <c:v>2808986.92</c:v>
                </c:pt>
                <c:pt idx="1">
                  <c:v>8982671.2466666661</c:v>
                </c:pt>
                <c:pt idx="2">
                  <c:v>14597615.460000001</c:v>
                </c:pt>
                <c:pt idx="3">
                  <c:v>22177623.383333333</c:v>
                </c:pt>
                <c:pt idx="4">
                  <c:v>31047073.893333334</c:v>
                </c:pt>
                <c:pt idx="5">
                  <c:v>40889923.463333331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D1-47D8-8AE6-364C7C82A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8695944"/>
        <c:axId val="358698504"/>
      </c:lineChart>
      <c:catAx>
        <c:axId val="3586959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358698504"/>
        <c:crosses val="autoZero"/>
        <c:auto val="1"/>
        <c:lblAlgn val="ctr"/>
        <c:lblOffset val="100"/>
        <c:noMultiLvlLbl val="0"/>
      </c:catAx>
      <c:valAx>
        <c:axId val="358698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358695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Weekly Flame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Flame!$B$9:$B$14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cat>
          <c:val>
            <c:numRef>
              <c:f>Flame!$G$9:$G$14</c:f>
              <c:numCache>
                <c:formatCode>#,##0</c:formatCode>
                <c:ptCount val="6"/>
                <c:pt idx="0">
                  <c:v>132961.5</c:v>
                </c:pt>
                <c:pt idx="1">
                  <c:v>545426.72</c:v>
                </c:pt>
                <c:pt idx="2">
                  <c:v>1383748.8599999999</c:v>
                </c:pt>
                <c:pt idx="3">
                  <c:v>2059155</c:v>
                </c:pt>
                <c:pt idx="4">
                  <c:v>2832330.73</c:v>
                </c:pt>
                <c:pt idx="5">
                  <c:v>3561490.99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09-4884-A28D-32443E1BB45B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Flame!$B$9:$B$14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cat>
          <c:val>
            <c:numRef>
              <c:f>Flame!$I$9:$I$14</c:f>
              <c:numCache>
                <c:formatCode>#,##0</c:formatCode>
                <c:ptCount val="6"/>
                <c:pt idx="0">
                  <c:v>21515</c:v>
                </c:pt>
                <c:pt idx="1">
                  <c:v>450613.09</c:v>
                </c:pt>
                <c:pt idx="2">
                  <c:v>798696.39</c:v>
                </c:pt>
                <c:pt idx="3">
                  <c:v>1473789.92</c:v>
                </c:pt>
                <c:pt idx="4">
                  <c:v>1934155.44</c:v>
                </c:pt>
                <c:pt idx="5">
                  <c:v>2601757.69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09-4884-A28D-32443E1BB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6248456"/>
        <c:axId val="246250504"/>
      </c:lineChart>
      <c:catAx>
        <c:axId val="2462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246250504"/>
        <c:crosses val="autoZero"/>
        <c:auto val="1"/>
        <c:lblAlgn val="ctr"/>
        <c:lblOffset val="100"/>
        <c:noMultiLvlLbl val="0"/>
      </c:catAx>
      <c:valAx>
        <c:axId val="246250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2462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Orange River Weekly Flame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Flame!$B$46:$B$51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cat>
          <c:val>
            <c:numRef>
              <c:f>Flame!$G$46:$G$51</c:f>
              <c:numCache>
                <c:formatCode>0</c:formatCode>
                <c:ptCount val="6"/>
                <c:pt idx="0">
                  <c:v>72307.5</c:v>
                </c:pt>
                <c:pt idx="1">
                  <c:v>309748.5</c:v>
                </c:pt>
                <c:pt idx="2">
                  <c:v>1054203</c:v>
                </c:pt>
                <c:pt idx="3">
                  <c:v>1608960</c:v>
                </c:pt>
                <c:pt idx="4" formatCode="#,##0">
                  <c:v>2165828.52</c:v>
                </c:pt>
                <c:pt idx="5" formatCode="#,##0">
                  <c:v>2665833.02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57-486A-9519-656159D33E7E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Flame!$B$46:$B$51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cat>
          <c:val>
            <c:numRef>
              <c:f>Flame!$I$46:$I$51</c:f>
              <c:numCache>
                <c:formatCode>0</c:formatCode>
                <c:ptCount val="6"/>
                <c:pt idx="0">
                  <c:v>21515</c:v>
                </c:pt>
                <c:pt idx="1">
                  <c:v>320555.5</c:v>
                </c:pt>
                <c:pt idx="2">
                  <c:v>633296.76</c:v>
                </c:pt>
                <c:pt idx="3">
                  <c:v>1289688.27</c:v>
                </c:pt>
                <c:pt idx="4" formatCode="#,##0">
                  <c:v>1668881.77</c:v>
                </c:pt>
                <c:pt idx="5" formatCode="#,##0">
                  <c:v>2286506.52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57-486A-9519-656159D33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6248456"/>
        <c:axId val="246250504"/>
      </c:lineChart>
      <c:catAx>
        <c:axId val="2462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246250504"/>
        <c:crosses val="autoZero"/>
        <c:auto val="1"/>
        <c:lblAlgn val="ctr"/>
        <c:lblOffset val="100"/>
        <c:noMultiLvlLbl val="0"/>
      </c:catAx>
      <c:valAx>
        <c:axId val="246250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2462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Olifants River Weekly Flame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Flame!$B$83:$B$88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cat>
          <c:val>
            <c:numRef>
              <c:f>Flame!$G$83:$G$88</c:f>
              <c:numCache>
                <c:formatCode>#,##0</c:formatCode>
                <c:ptCount val="6"/>
                <c:pt idx="0">
                  <c:v>0</c:v>
                </c:pt>
                <c:pt idx="1">
                  <c:v>108465.11</c:v>
                </c:pt>
                <c:pt idx="2">
                  <c:v>156325.16999999998</c:v>
                </c:pt>
                <c:pt idx="3">
                  <c:v>231452.25999999998</c:v>
                </c:pt>
                <c:pt idx="4">
                  <c:v>290930.76999999996</c:v>
                </c:pt>
                <c:pt idx="5">
                  <c:v>454235.89999999997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6C-4FD1-A95F-3BAC565E3090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Flame!$B$83:$B$88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cat>
          <c:val>
            <c:numRef>
              <c:f>Flame!$I$83:$I$88</c:f>
              <c:numCache>
                <c:formatCode>#,##0</c:formatCode>
                <c:ptCount val="6"/>
                <c:pt idx="0">
                  <c:v>0</c:v>
                </c:pt>
                <c:pt idx="1">
                  <c:v>20976.04</c:v>
                </c:pt>
                <c:pt idx="2">
                  <c:v>30050.550000000003</c:v>
                </c:pt>
                <c:pt idx="3">
                  <c:v>42946.070000000007</c:v>
                </c:pt>
                <c:pt idx="4">
                  <c:v>123768.59</c:v>
                </c:pt>
                <c:pt idx="5">
                  <c:v>156411.59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6C-4FD1-A95F-3BAC565E3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6248456"/>
        <c:axId val="246250504"/>
      </c:lineChart>
      <c:catAx>
        <c:axId val="2462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246250504"/>
        <c:crosses val="autoZero"/>
        <c:auto val="1"/>
        <c:lblAlgn val="ctr"/>
        <c:lblOffset val="100"/>
        <c:noMultiLvlLbl val="0"/>
      </c:catAx>
      <c:valAx>
        <c:axId val="246250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2462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Namibia Weekly Flame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Flame!$B$120:$B$125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cat>
          <c:val>
            <c:numRef>
              <c:f>Flame!$G$120:$G$125</c:f>
              <c:numCache>
                <c:formatCode>#,##0</c:formatCode>
                <c:ptCount val="6"/>
                <c:pt idx="0">
                  <c:v>60654</c:v>
                </c:pt>
                <c:pt idx="1">
                  <c:v>127213.11</c:v>
                </c:pt>
                <c:pt idx="2">
                  <c:v>173220.69</c:v>
                </c:pt>
                <c:pt idx="3">
                  <c:v>218742.74</c:v>
                </c:pt>
                <c:pt idx="4">
                  <c:v>375571.44</c:v>
                </c:pt>
                <c:pt idx="5">
                  <c:v>441422.07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C0-43CC-81FE-E5FE1298BE48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Flame!$B$120:$B$125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cat>
          <c:val>
            <c:numRef>
              <c:f>Flame!$I$120:$I$125</c:f>
              <c:numCache>
                <c:formatCode>#,##0</c:formatCode>
                <c:ptCount val="6"/>
                <c:pt idx="0">
                  <c:v>0</c:v>
                </c:pt>
                <c:pt idx="1">
                  <c:v>109081.55</c:v>
                </c:pt>
                <c:pt idx="2">
                  <c:v>135349.08000000002</c:v>
                </c:pt>
                <c:pt idx="3">
                  <c:v>141155.58000000002</c:v>
                </c:pt>
                <c:pt idx="4">
                  <c:v>141505.07999999999</c:v>
                </c:pt>
                <c:pt idx="5">
                  <c:v>158839.57999999999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C0-43CC-81FE-E5FE1298B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6248456"/>
        <c:axId val="246250504"/>
      </c:lineChart>
      <c:catAx>
        <c:axId val="2462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246250504"/>
        <c:crosses val="autoZero"/>
        <c:auto val="1"/>
        <c:lblAlgn val="ctr"/>
        <c:lblOffset val="100"/>
        <c:noMultiLvlLbl val="0"/>
      </c:catAx>
      <c:valAx>
        <c:axId val="246250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2462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Weekly SA Sultana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'SA Sultana'!$B$9:$B$14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cat>
          <c:val>
            <c:numRef>
              <c:f>'SA Sultana'!$G$9:$G$14</c:f>
              <c:numCache>
                <c:formatCode>#,##0</c:formatCode>
                <c:ptCount val="6"/>
                <c:pt idx="0">
                  <c:v>281223.5</c:v>
                </c:pt>
                <c:pt idx="1">
                  <c:v>942717.81</c:v>
                </c:pt>
                <c:pt idx="2">
                  <c:v>1546757.31</c:v>
                </c:pt>
                <c:pt idx="3">
                  <c:v>2029241.81</c:v>
                </c:pt>
                <c:pt idx="4">
                  <c:v>2334652.33</c:v>
                </c:pt>
                <c:pt idx="5">
                  <c:v>2485744.33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CB-47E8-81E3-5D4A9B94818F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'SA Sultana'!$B$9:$B$14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cat>
          <c:val>
            <c:numRef>
              <c:f>'SA Sultana'!$I$9:$I$14</c:f>
              <c:numCache>
                <c:formatCode>#,##0</c:formatCode>
                <c:ptCount val="6"/>
                <c:pt idx="0">
                  <c:v>161927</c:v>
                </c:pt>
                <c:pt idx="1">
                  <c:v>1250404.6499999999</c:v>
                </c:pt>
                <c:pt idx="2">
                  <c:v>2222048.17</c:v>
                </c:pt>
                <c:pt idx="3">
                  <c:v>3120698.94</c:v>
                </c:pt>
                <c:pt idx="4">
                  <c:v>4141240.82</c:v>
                </c:pt>
                <c:pt idx="5">
                  <c:v>4788211.0599999996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CB-47E8-81E3-5D4A9B948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1582343"/>
        <c:axId val="701605895"/>
      </c:lineChart>
      <c:catAx>
        <c:axId val="7015823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701605895"/>
        <c:crosses val="autoZero"/>
        <c:auto val="1"/>
        <c:lblAlgn val="ctr"/>
        <c:lblOffset val="100"/>
        <c:noMultiLvlLbl val="0"/>
      </c:catAx>
      <c:valAx>
        <c:axId val="701605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701582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Olifants River Weekly SA Sultana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'SA Sultana'!$B$83:$B$88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cat>
          <c:val>
            <c:numRef>
              <c:f>'SA Sultana'!$G$83:$G$88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162984</c:v>
                </c:pt>
                <c:pt idx="4">
                  <c:v>162984</c:v>
                </c:pt>
                <c:pt idx="5">
                  <c:v>165438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79-4B9A-9084-C11D7D6E570F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'SA Sultana'!$B$83:$B$88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cat>
          <c:val>
            <c:numRef>
              <c:f>'SA Sultana'!$I$83:$I$88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79-4B9A-9084-C11D7D6E5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1582343"/>
        <c:axId val="701605895"/>
      </c:lineChart>
      <c:catAx>
        <c:axId val="7015823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701605895"/>
        <c:crosses val="autoZero"/>
        <c:auto val="1"/>
        <c:lblAlgn val="ctr"/>
        <c:lblOffset val="100"/>
        <c:noMultiLvlLbl val="0"/>
      </c:catAx>
      <c:valAx>
        <c:axId val="701605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701582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Orange River Weekly SA Sultana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'SA Sultana'!$B$46:$B$51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cat>
          <c:val>
            <c:numRef>
              <c:f>'SA Sultana'!$G$46:$G$51</c:f>
              <c:numCache>
                <c:formatCode>#,##0</c:formatCode>
                <c:ptCount val="6"/>
                <c:pt idx="0">
                  <c:v>280686</c:v>
                </c:pt>
                <c:pt idx="1">
                  <c:v>941707.81</c:v>
                </c:pt>
                <c:pt idx="2">
                  <c:v>1545747.31</c:v>
                </c:pt>
                <c:pt idx="3">
                  <c:v>1865247.81</c:v>
                </c:pt>
                <c:pt idx="4">
                  <c:v>2170658.33</c:v>
                </c:pt>
                <c:pt idx="5">
                  <c:v>2317908.83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7-4132-AA4C-7080A2F4F185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'SA Sultana'!$B$46:$B$51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cat>
          <c:val>
            <c:numRef>
              <c:f>'SA Sultana'!$I$46:$I$51</c:f>
              <c:numCache>
                <c:formatCode>#,##0</c:formatCode>
                <c:ptCount val="6"/>
                <c:pt idx="0">
                  <c:v>161927</c:v>
                </c:pt>
                <c:pt idx="1">
                  <c:v>1250404.6499999999</c:v>
                </c:pt>
                <c:pt idx="2">
                  <c:v>2222048.17</c:v>
                </c:pt>
                <c:pt idx="3">
                  <c:v>3120698.94</c:v>
                </c:pt>
                <c:pt idx="4">
                  <c:v>4141240.82</c:v>
                </c:pt>
                <c:pt idx="5">
                  <c:v>4786883.0599999996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7-4132-AA4C-7080A2F4F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1582343"/>
        <c:axId val="701605895"/>
      </c:lineChart>
      <c:catAx>
        <c:axId val="7015823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701605895"/>
        <c:crosses val="autoZero"/>
        <c:auto val="1"/>
        <c:lblAlgn val="ctr"/>
        <c:lblOffset val="100"/>
        <c:noMultiLvlLbl val="0"/>
      </c:catAx>
      <c:valAx>
        <c:axId val="701605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701582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Namibia Weekly SA Sultana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'SA Sultana'!$B$120:$B$125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cat>
          <c:val>
            <c:numRef>
              <c:f>'SA Sultana'!$G$120:$G$125</c:f>
              <c:numCache>
                <c:formatCode>#,##0</c:formatCode>
                <c:ptCount val="6"/>
                <c:pt idx="0">
                  <c:v>537.5</c:v>
                </c:pt>
                <c:pt idx="1">
                  <c:v>1010</c:v>
                </c:pt>
                <c:pt idx="2">
                  <c:v>1010</c:v>
                </c:pt>
                <c:pt idx="3">
                  <c:v>1010</c:v>
                </c:pt>
                <c:pt idx="4">
                  <c:v>1010</c:v>
                </c:pt>
                <c:pt idx="5">
                  <c:v>2397.5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57-4D4A-A1E7-A0C7B9F358A5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'SA Sultana'!$B$120:$B$125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cat>
          <c:val>
            <c:numRef>
              <c:f>'SA Sultana'!$I$120:$I$125</c:f>
              <c:numCache>
                <c:formatCode>#,##0</c:formatCode>
                <c:ptCount val="6"/>
                <c:pt idx="0">
                  <c:v>0</c:v>
                </c:pt>
                <c:pt idx="1">
                  <c:v>1253</c:v>
                </c:pt>
                <c:pt idx="2">
                  <c:v>2679.5</c:v>
                </c:pt>
                <c:pt idx="3">
                  <c:v>2679.5</c:v>
                </c:pt>
                <c:pt idx="4">
                  <c:v>2679.5</c:v>
                </c:pt>
                <c:pt idx="5">
                  <c:v>4007.5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7-4D4A-A1E7-A0C7B9F35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1582343"/>
        <c:axId val="701605895"/>
      </c:lineChart>
      <c:catAx>
        <c:axId val="7015823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701605895"/>
        <c:crosses val="autoZero"/>
        <c:auto val="1"/>
        <c:lblAlgn val="ctr"/>
        <c:lblOffset val="100"/>
        <c:noMultiLvlLbl val="0"/>
      </c:catAx>
      <c:valAx>
        <c:axId val="701605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701582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Weekly OR Sultana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'OR Sultana'!$B$9:$B$14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cat>
          <c:val>
            <c:numRef>
              <c:f>'OR Sultana'!$G$9:$G$14</c:f>
              <c:numCache>
                <c:formatCode>#,##0</c:formatCode>
                <c:ptCount val="6"/>
                <c:pt idx="0">
                  <c:v>386194</c:v>
                </c:pt>
                <c:pt idx="1">
                  <c:v>858734.01</c:v>
                </c:pt>
                <c:pt idx="2">
                  <c:v>1376785.51</c:v>
                </c:pt>
                <c:pt idx="3">
                  <c:v>2108311.0300000003</c:v>
                </c:pt>
                <c:pt idx="4">
                  <c:v>2435792.5300000003</c:v>
                </c:pt>
                <c:pt idx="5">
                  <c:v>2593133.5300000003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F-4739-82A0-FEE2131E8DF5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'OR Sultana'!$B$9:$B$14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cat>
          <c:val>
            <c:numRef>
              <c:f>'OR Sultana'!$I$9:$I$14</c:f>
              <c:numCache>
                <c:formatCode>#,##0</c:formatCode>
                <c:ptCount val="6"/>
                <c:pt idx="0">
                  <c:v>308184.25</c:v>
                </c:pt>
                <c:pt idx="1">
                  <c:v>878518.75</c:v>
                </c:pt>
                <c:pt idx="2">
                  <c:v>1227584.76</c:v>
                </c:pt>
                <c:pt idx="3">
                  <c:v>1756058.02</c:v>
                </c:pt>
                <c:pt idx="4">
                  <c:v>2055718.02</c:v>
                </c:pt>
                <c:pt idx="5">
                  <c:v>2315971.87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0F-4739-82A0-FEE2131E8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5995144"/>
        <c:axId val="315997192"/>
      </c:lineChart>
      <c:catAx>
        <c:axId val="3159951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315997192"/>
        <c:crosses val="autoZero"/>
        <c:auto val="1"/>
        <c:lblAlgn val="ctr"/>
        <c:lblOffset val="100"/>
        <c:noMultiLvlLbl val="0"/>
      </c:catAx>
      <c:valAx>
        <c:axId val="315997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315995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Namibia Weekly OR Sultana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'OR Sultana'!$B$120:$B$125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cat>
          <c:val>
            <c:numRef>
              <c:f>'OR Sultana'!$G$120:$G$125</c:f>
              <c:numCache>
                <c:formatCode>#,##0</c:formatCode>
                <c:ptCount val="6"/>
                <c:pt idx="0">
                  <c:v>10543</c:v>
                </c:pt>
                <c:pt idx="1">
                  <c:v>21611.5</c:v>
                </c:pt>
                <c:pt idx="2">
                  <c:v>21611.5</c:v>
                </c:pt>
                <c:pt idx="3">
                  <c:v>24735</c:v>
                </c:pt>
                <c:pt idx="4">
                  <c:v>24735</c:v>
                </c:pt>
                <c:pt idx="5">
                  <c:v>24735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1-411D-B065-E8678EBA54B3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'OR Sultana'!$B$120:$B$125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cat>
          <c:val>
            <c:numRef>
              <c:f>'OR Sultana'!$I$120:$I$125</c:f>
              <c:numCache>
                <c:formatCode>#,##0</c:formatCode>
                <c:ptCount val="6"/>
                <c:pt idx="0">
                  <c:v>0</c:v>
                </c:pt>
                <c:pt idx="1">
                  <c:v>5891</c:v>
                </c:pt>
                <c:pt idx="2">
                  <c:v>5891</c:v>
                </c:pt>
                <c:pt idx="3">
                  <c:v>5891</c:v>
                </c:pt>
                <c:pt idx="4">
                  <c:v>5891</c:v>
                </c:pt>
                <c:pt idx="5">
                  <c:v>5891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11-411D-B065-E8678EBA5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5995144"/>
        <c:axId val="315997192"/>
      </c:lineChart>
      <c:catAx>
        <c:axId val="3159951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315997192"/>
        <c:crosses val="autoZero"/>
        <c:auto val="1"/>
        <c:lblAlgn val="ctr"/>
        <c:lblOffset val="100"/>
        <c:noMultiLvlLbl val="0"/>
      </c:catAx>
      <c:valAx>
        <c:axId val="315997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315995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for the Orange River of the Weekly Raisin intakes in kilogram for 2025, 2026 and a 3 Year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Raisins'!$B$45:$B$50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cat>
          <c:val>
            <c:numRef>
              <c:f>'Total Raisins'!$G$45:$G$50</c:f>
              <c:numCache>
                <c:formatCode>#,##0</c:formatCode>
                <c:ptCount val="6"/>
                <c:pt idx="0">
                  <c:v>1599778.44</c:v>
                </c:pt>
                <c:pt idx="1">
                  <c:v>7222553.959999999</c:v>
                </c:pt>
                <c:pt idx="2">
                  <c:v>15718405.969999999</c:v>
                </c:pt>
                <c:pt idx="3">
                  <c:v>23305839.02</c:v>
                </c:pt>
                <c:pt idx="4">
                  <c:v>30211262.640000001</c:v>
                </c:pt>
                <c:pt idx="5">
                  <c:v>35233598.659999996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87-4597-8AE9-821430F8B594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Raisins'!$B$45:$B$50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cat>
          <c:val>
            <c:numRef>
              <c:f>'Total Raisins'!$I$45:$I$50</c:f>
              <c:numCache>
                <c:formatCode>#,##0</c:formatCode>
                <c:ptCount val="6"/>
                <c:pt idx="0">
                  <c:v>701403.25</c:v>
                </c:pt>
                <c:pt idx="1">
                  <c:v>4842655.0999999996</c:v>
                </c:pt>
                <c:pt idx="2">
                  <c:v>8413078.7300000004</c:v>
                </c:pt>
                <c:pt idx="3">
                  <c:v>14706470.870000001</c:v>
                </c:pt>
                <c:pt idx="4">
                  <c:v>21663081.57</c:v>
                </c:pt>
                <c:pt idx="5">
                  <c:v>29121702.059999999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87-4597-8AE9-821430F8B594}"/>
            </c:ext>
          </c:extLst>
        </c:ser>
        <c:ser>
          <c:idx val="2"/>
          <c:order val="2"/>
          <c:tx>
            <c:strRef>
              <c:f>{"3 Year Average"}</c:f>
              <c:strCache>
                <c:ptCount val="1"/>
                <c:pt idx="0">
                  <c:v>3 Year Average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Raisins'!$B$45:$B$50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cat>
          <c:val>
            <c:numRef>
              <c:f>'Total Raisins'!$L$45:$L$50</c:f>
              <c:numCache>
                <c:formatCode>#,##0</c:formatCode>
                <c:ptCount val="6"/>
                <c:pt idx="0">
                  <c:v>2424873.7433333336</c:v>
                </c:pt>
                <c:pt idx="1">
                  <c:v>7561773.71</c:v>
                </c:pt>
                <c:pt idx="2">
                  <c:v>12196226.060000001</c:v>
                </c:pt>
                <c:pt idx="3">
                  <c:v>18539565.43</c:v>
                </c:pt>
                <c:pt idx="4">
                  <c:v>25847868.539999999</c:v>
                </c:pt>
                <c:pt idx="5">
                  <c:v>33975340.116666667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87-4597-8AE9-821430F8B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9612552"/>
        <c:axId val="309614600"/>
      </c:lineChart>
      <c:catAx>
        <c:axId val="309612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9614600"/>
        <c:crosses val="autoZero"/>
        <c:auto val="1"/>
        <c:lblAlgn val="ctr"/>
        <c:lblOffset val="100"/>
        <c:noMultiLvlLbl val="0"/>
      </c:catAx>
      <c:valAx>
        <c:axId val="309614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309612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Orange River Weekly OR Sultana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'OR Sultana'!$B$46:$B$51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cat>
          <c:val>
            <c:numRef>
              <c:f>'OR Sultana'!$G$46:$G$51</c:f>
              <c:numCache>
                <c:formatCode>#,##0</c:formatCode>
                <c:ptCount val="6"/>
                <c:pt idx="0">
                  <c:v>375651</c:v>
                </c:pt>
                <c:pt idx="1">
                  <c:v>837122.51</c:v>
                </c:pt>
                <c:pt idx="2">
                  <c:v>1355174.01</c:v>
                </c:pt>
                <c:pt idx="3">
                  <c:v>2080391.53</c:v>
                </c:pt>
                <c:pt idx="4">
                  <c:v>2407873.0300000003</c:v>
                </c:pt>
                <c:pt idx="5">
                  <c:v>2565214.0300000003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52-4A9B-80EF-AAA3EA1604A8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'OR Sultana'!$B$46:$B$51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cat>
          <c:val>
            <c:numRef>
              <c:f>'OR Sultana'!$I$46:$I$51</c:f>
              <c:numCache>
                <c:formatCode>#,##0</c:formatCode>
                <c:ptCount val="6"/>
                <c:pt idx="0">
                  <c:v>308184.25</c:v>
                </c:pt>
                <c:pt idx="1">
                  <c:v>872627.75</c:v>
                </c:pt>
                <c:pt idx="2">
                  <c:v>1221693.76</c:v>
                </c:pt>
                <c:pt idx="3">
                  <c:v>1750167.02</c:v>
                </c:pt>
                <c:pt idx="4">
                  <c:v>2049827.02</c:v>
                </c:pt>
                <c:pt idx="5">
                  <c:v>2310080.87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52-4A9B-80EF-AAA3EA160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5995144"/>
        <c:axId val="315997192"/>
      </c:lineChart>
      <c:catAx>
        <c:axId val="3159951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315997192"/>
        <c:crosses val="autoZero"/>
        <c:auto val="1"/>
        <c:lblAlgn val="ctr"/>
        <c:lblOffset val="100"/>
        <c:noMultiLvlLbl val="0"/>
      </c:catAx>
      <c:valAx>
        <c:axId val="315997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315995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Olifants River Weekly OR Sultana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'OR Sultana'!$B$83:$B$88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cat>
          <c:val>
            <c:numRef>
              <c:f>'OR Sultana'!$G$83:$G$88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3184.5</c:v>
                </c:pt>
                <c:pt idx="4">
                  <c:v>3184.5</c:v>
                </c:pt>
                <c:pt idx="5">
                  <c:v>3184.5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1F-4AE2-A700-C8D547B2A229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'OR Sultana'!$B$83:$B$88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cat>
          <c:val>
            <c:numRef>
              <c:f>'OR Sultana'!$I$83:$I$88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1F-4AE2-A700-C8D547B2A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5995144"/>
        <c:axId val="315997192"/>
      </c:lineChart>
      <c:catAx>
        <c:axId val="3159951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315997192"/>
        <c:crosses val="autoZero"/>
        <c:auto val="1"/>
        <c:lblAlgn val="ctr"/>
        <c:lblOffset val="100"/>
        <c:noMultiLvlLbl val="0"/>
      </c:catAx>
      <c:valAx>
        <c:axId val="315997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315995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Weekly Goldens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Goldens!$B$9:$B$14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cat>
          <c:val>
            <c:numRef>
              <c:f>Goldens!$G$9:$G$14</c:f>
              <c:numCache>
                <c:formatCode>#,##0</c:formatCode>
                <c:ptCount val="6"/>
                <c:pt idx="0">
                  <c:v>116966.7</c:v>
                </c:pt>
                <c:pt idx="1">
                  <c:v>282296.73</c:v>
                </c:pt>
                <c:pt idx="2">
                  <c:v>1178999.25</c:v>
                </c:pt>
                <c:pt idx="3">
                  <c:v>2149364.34</c:v>
                </c:pt>
                <c:pt idx="4">
                  <c:v>3240770.3499999996</c:v>
                </c:pt>
                <c:pt idx="5">
                  <c:v>4104068.3599999994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AA-4D43-80A4-7D3ED79AEDF3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Goldens!$B$9:$B$14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cat>
          <c:val>
            <c:numRef>
              <c:f>Goldens!$I$9:$I$14</c:f>
              <c:numCache>
                <c:formatCode>#,##0</c:formatCode>
                <c:ptCount val="6"/>
                <c:pt idx="0">
                  <c:v>40107</c:v>
                </c:pt>
                <c:pt idx="1">
                  <c:v>439278.14</c:v>
                </c:pt>
                <c:pt idx="2">
                  <c:v>815317.17</c:v>
                </c:pt>
                <c:pt idx="3">
                  <c:v>1534086.94</c:v>
                </c:pt>
                <c:pt idx="4">
                  <c:v>2474675.7200000002</c:v>
                </c:pt>
                <c:pt idx="5">
                  <c:v>4005342.79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AA-4D43-80A4-7D3ED79AE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3798791"/>
        <c:axId val="983800839"/>
      </c:lineChart>
      <c:catAx>
        <c:axId val="9837987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983800839"/>
        <c:crosses val="autoZero"/>
        <c:auto val="1"/>
        <c:lblAlgn val="ctr"/>
        <c:lblOffset val="100"/>
        <c:noMultiLvlLbl val="0"/>
      </c:catAx>
      <c:valAx>
        <c:axId val="983800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983798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Orange River Weekly Goldens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Goldens!$B$46:$B$51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cat>
          <c:val>
            <c:numRef>
              <c:f>Goldens!$G$46:$G$51</c:f>
              <c:numCache>
                <c:formatCode>#,##0</c:formatCode>
                <c:ptCount val="6"/>
                <c:pt idx="0">
                  <c:v>85624.69</c:v>
                </c:pt>
                <c:pt idx="1">
                  <c:v>187556.69</c:v>
                </c:pt>
                <c:pt idx="2">
                  <c:v>983795.69</c:v>
                </c:pt>
                <c:pt idx="3">
                  <c:v>1828142.2</c:v>
                </c:pt>
                <c:pt idx="4">
                  <c:v>2844069.7</c:v>
                </c:pt>
                <c:pt idx="5">
                  <c:v>3584545.7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39-43DB-90D1-4E34F9001532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Goldens!$B$46:$B$51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cat>
          <c:val>
            <c:numRef>
              <c:f>Goldens!$I$46:$I$51</c:f>
              <c:numCache>
                <c:formatCode>#,##0</c:formatCode>
                <c:ptCount val="6"/>
                <c:pt idx="0">
                  <c:v>40107</c:v>
                </c:pt>
                <c:pt idx="1">
                  <c:v>304859.64</c:v>
                </c:pt>
                <c:pt idx="2">
                  <c:v>631337.64</c:v>
                </c:pt>
                <c:pt idx="3">
                  <c:v>1274332.3999999999</c:v>
                </c:pt>
                <c:pt idx="4">
                  <c:v>2115165.65</c:v>
                </c:pt>
                <c:pt idx="5">
                  <c:v>3552493.2199999997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39-43DB-90D1-4E34F9001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3798791"/>
        <c:axId val="983800839"/>
      </c:lineChart>
      <c:catAx>
        <c:axId val="9837987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983800839"/>
        <c:crosses val="autoZero"/>
        <c:auto val="1"/>
        <c:lblAlgn val="ctr"/>
        <c:lblOffset val="100"/>
        <c:noMultiLvlLbl val="0"/>
      </c:catAx>
      <c:valAx>
        <c:axId val="983800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983798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Olifants River Weekly Goldens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Goldens!$B$83:$B$88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cat>
          <c:val>
            <c:numRef>
              <c:f>Goldens!$G$83:$G$88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6E-4433-B63A-0D854F38DAB3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Goldens!$B$83:$B$88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cat>
          <c:val>
            <c:numRef>
              <c:f>Goldens!$I$83:$I$88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6E-4433-B63A-0D854F38D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3798791"/>
        <c:axId val="983800839"/>
      </c:lineChart>
      <c:catAx>
        <c:axId val="9837987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983800839"/>
        <c:crosses val="autoZero"/>
        <c:auto val="1"/>
        <c:lblAlgn val="ctr"/>
        <c:lblOffset val="100"/>
        <c:noMultiLvlLbl val="0"/>
      </c:catAx>
      <c:valAx>
        <c:axId val="983800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983798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Namibia Weekly Goldens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Goldens!$B$120:$B$125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cat>
          <c:val>
            <c:numRef>
              <c:f>Goldens!$G$120:$G$125</c:f>
              <c:numCache>
                <c:formatCode>#,##0</c:formatCode>
                <c:ptCount val="6"/>
                <c:pt idx="0">
                  <c:v>31342.01</c:v>
                </c:pt>
                <c:pt idx="1">
                  <c:v>94740.04</c:v>
                </c:pt>
                <c:pt idx="2">
                  <c:v>195203.56</c:v>
                </c:pt>
                <c:pt idx="3">
                  <c:v>321222.14</c:v>
                </c:pt>
                <c:pt idx="4">
                  <c:v>396700.65</c:v>
                </c:pt>
                <c:pt idx="5">
                  <c:v>519522.66000000003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A-4840-9646-549D2A1156E0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Goldens!$B$120:$B$125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cat>
          <c:val>
            <c:numRef>
              <c:f>Goldens!$I$120:$I$125</c:f>
              <c:numCache>
                <c:formatCode>#,##0</c:formatCode>
                <c:ptCount val="6"/>
                <c:pt idx="0">
                  <c:v>0</c:v>
                </c:pt>
                <c:pt idx="1">
                  <c:v>134418.5</c:v>
                </c:pt>
                <c:pt idx="2">
                  <c:v>183979.53</c:v>
                </c:pt>
                <c:pt idx="3">
                  <c:v>259754.53999999998</c:v>
                </c:pt>
                <c:pt idx="4">
                  <c:v>359510.07</c:v>
                </c:pt>
                <c:pt idx="5">
                  <c:v>452849.57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A-4840-9646-549D2A115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3798791"/>
        <c:axId val="983800839"/>
      </c:lineChart>
      <c:catAx>
        <c:axId val="9837987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983800839"/>
        <c:crosses val="autoZero"/>
        <c:auto val="1"/>
        <c:lblAlgn val="ctr"/>
        <c:lblOffset val="100"/>
        <c:noMultiLvlLbl val="0"/>
      </c:catAx>
      <c:valAx>
        <c:axId val="983800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983798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Weekly Currant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Currants!$B$9:$B$14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cat>
          <c:val>
            <c:numRef>
              <c:f>Currants!$G$9:$G$14</c:f>
              <c:numCache>
                <c:formatCode>#,##0</c:formatCode>
                <c:ptCount val="6"/>
                <c:pt idx="0">
                  <c:v>0</c:v>
                </c:pt>
                <c:pt idx="1">
                  <c:v>245586</c:v>
                </c:pt>
                <c:pt idx="2">
                  <c:v>558421.9</c:v>
                </c:pt>
                <c:pt idx="3">
                  <c:v>1084522.8999999999</c:v>
                </c:pt>
                <c:pt idx="4">
                  <c:v>1565301.9</c:v>
                </c:pt>
                <c:pt idx="5">
                  <c:v>1795828.9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5-476D-99F0-9B9578E21436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Currants!$B$9:$B$14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cat>
          <c:val>
            <c:numRef>
              <c:f>Currants!$I$9:$I$14</c:f>
              <c:numCache>
                <c:formatCode>#,##0</c:formatCode>
                <c:ptCount val="6"/>
                <c:pt idx="0">
                  <c:v>0</c:v>
                </c:pt>
                <c:pt idx="1">
                  <c:v>51054</c:v>
                </c:pt>
                <c:pt idx="2">
                  <c:v>426083.5</c:v>
                </c:pt>
                <c:pt idx="3">
                  <c:v>772875</c:v>
                </c:pt>
                <c:pt idx="4">
                  <c:v>1340841</c:v>
                </c:pt>
                <c:pt idx="5">
                  <c:v>1599211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15-476D-99F0-9B9578E21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6059911"/>
        <c:axId val="1576061959"/>
      </c:lineChart>
      <c:catAx>
        <c:axId val="15760599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576061959"/>
        <c:crosses val="autoZero"/>
        <c:auto val="1"/>
        <c:lblAlgn val="ctr"/>
        <c:lblOffset val="100"/>
        <c:noMultiLvlLbl val="0"/>
      </c:catAx>
      <c:valAx>
        <c:axId val="1576061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576059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Orange River Weekly Currant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Currants!$B$46:$B$51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cat>
          <c:val>
            <c:numRef>
              <c:f>Currants!$G$46:$G$51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15249.4</c:v>
                </c:pt>
                <c:pt idx="3">
                  <c:v>15249.4</c:v>
                </c:pt>
                <c:pt idx="4">
                  <c:v>15249.4</c:v>
                </c:pt>
                <c:pt idx="5">
                  <c:v>32805.9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25-4A9E-B1CB-D4B7B341F10D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Currants!$B$46:$B$51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cat>
          <c:val>
            <c:numRef>
              <c:f>Currants!$I$46:$I$51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25-4A9E-B1CB-D4B7B341F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6059911"/>
        <c:axId val="1576061959"/>
      </c:lineChart>
      <c:catAx>
        <c:axId val="15760599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576061959"/>
        <c:crosses val="autoZero"/>
        <c:auto val="1"/>
        <c:lblAlgn val="ctr"/>
        <c:lblOffset val="100"/>
        <c:noMultiLvlLbl val="0"/>
      </c:catAx>
      <c:valAx>
        <c:axId val="1576061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576059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Olifants River Weekly Currant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Currants!$B$83:$B$88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cat>
          <c:val>
            <c:numRef>
              <c:f>Currants!$G$83:$G$88</c:f>
              <c:numCache>
                <c:formatCode>#,##0</c:formatCode>
                <c:ptCount val="6"/>
                <c:pt idx="0">
                  <c:v>0</c:v>
                </c:pt>
                <c:pt idx="1">
                  <c:v>245586</c:v>
                </c:pt>
                <c:pt idx="2">
                  <c:v>543172.5</c:v>
                </c:pt>
                <c:pt idx="3">
                  <c:v>1069273.5</c:v>
                </c:pt>
                <c:pt idx="4">
                  <c:v>1550052.5</c:v>
                </c:pt>
                <c:pt idx="5">
                  <c:v>1763023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0C-4FA2-9F35-1B18B34C7793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Currants!$B$83:$B$88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cat>
          <c:val>
            <c:numRef>
              <c:f>Currants!$I$83:$I$88</c:f>
              <c:numCache>
                <c:formatCode>#,##0</c:formatCode>
                <c:ptCount val="6"/>
                <c:pt idx="0">
                  <c:v>0</c:v>
                </c:pt>
                <c:pt idx="1">
                  <c:v>51054</c:v>
                </c:pt>
                <c:pt idx="2">
                  <c:v>426083.5</c:v>
                </c:pt>
                <c:pt idx="3">
                  <c:v>772875</c:v>
                </c:pt>
                <c:pt idx="4">
                  <c:v>1340841</c:v>
                </c:pt>
                <c:pt idx="5">
                  <c:v>1599211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0C-4FA2-9F35-1B18B34C7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6059911"/>
        <c:axId val="1576061959"/>
      </c:lineChart>
      <c:catAx>
        <c:axId val="15760599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576061959"/>
        <c:crosses val="autoZero"/>
        <c:auto val="1"/>
        <c:lblAlgn val="ctr"/>
        <c:lblOffset val="100"/>
        <c:noMultiLvlLbl val="0"/>
      </c:catAx>
      <c:valAx>
        <c:axId val="1576061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576059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Namibia Weekly Currant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Currants!$B$120:$B$125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cat>
          <c:val>
            <c:numRef>
              <c:f>Currants!$G$120:$G$125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DC-4611-BAC6-6CBAE6926E9F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Currants!$B$120:$B$125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cat>
          <c:val>
            <c:numRef>
              <c:f>Currants!$I$120:$I$125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DC-4611-BAC6-6CBAE6926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6059911"/>
        <c:axId val="1576061959"/>
      </c:lineChart>
      <c:catAx>
        <c:axId val="15760599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576061959"/>
        <c:crosses val="autoZero"/>
        <c:auto val="1"/>
        <c:lblAlgn val="ctr"/>
        <c:lblOffset val="100"/>
        <c:noMultiLvlLbl val="0"/>
      </c:catAx>
      <c:valAx>
        <c:axId val="1576061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576059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for the Olifants River of the Weekly Raisin intakes in kilogram for 2025, 2026 and a 3 Year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Raisins'!$B$82:$B$87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cat>
          <c:val>
            <c:numRef>
              <c:f>'Total Raisins'!$G$82:$G$87</c:f>
              <c:numCache>
                <c:formatCode>#,##0</c:formatCode>
                <c:ptCount val="6"/>
                <c:pt idx="0">
                  <c:v>0</c:v>
                </c:pt>
                <c:pt idx="1">
                  <c:v>596772.69999999995</c:v>
                </c:pt>
                <c:pt idx="2">
                  <c:v>1423805.8599999999</c:v>
                </c:pt>
                <c:pt idx="3">
                  <c:v>2838761.57</c:v>
                </c:pt>
                <c:pt idx="4">
                  <c:v>4016429.09</c:v>
                </c:pt>
                <c:pt idx="5">
                  <c:v>5356382.33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42-4D55-BE7F-DFF1107BC412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Raisins'!$B$82:$B$87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cat>
          <c:val>
            <c:numRef>
              <c:f>'Total Raisins'!$I$82:$I$87</c:f>
              <c:numCache>
                <c:formatCode>#,##0</c:formatCode>
                <c:ptCount val="6"/>
                <c:pt idx="0">
                  <c:v>0</c:v>
                </c:pt>
                <c:pt idx="1">
                  <c:v>361150.18</c:v>
                </c:pt>
                <c:pt idx="2">
                  <c:v>1143392.22</c:v>
                </c:pt>
                <c:pt idx="3">
                  <c:v>1999727.29</c:v>
                </c:pt>
                <c:pt idx="4">
                  <c:v>3755501.87</c:v>
                </c:pt>
                <c:pt idx="5">
                  <c:v>4810712.24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42-4D55-BE7F-DFF1107BC412}"/>
            </c:ext>
          </c:extLst>
        </c:ser>
        <c:ser>
          <c:idx val="2"/>
          <c:order val="2"/>
          <c:tx>
            <c:v>3 Year Average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Raisins'!$B$82:$B$87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cat>
          <c:val>
            <c:numRef>
              <c:f>'Total Raisins'!$L$82:$L$87</c:f>
              <c:numCache>
                <c:formatCode>#,##0</c:formatCode>
                <c:ptCount val="6"/>
                <c:pt idx="0">
                  <c:v>228393.83666666667</c:v>
                </c:pt>
                <c:pt idx="1">
                  <c:v>871829.73</c:v>
                </c:pt>
                <c:pt idx="2">
                  <c:v>1619321.8266666669</c:v>
                </c:pt>
                <c:pt idx="3">
                  <c:v>2672104.02</c:v>
                </c:pt>
                <c:pt idx="4">
                  <c:v>3919888.7100000004</c:v>
                </c:pt>
                <c:pt idx="5">
                  <c:v>5417322.333333333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42-4D55-BE7F-DFF1107BC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2540424"/>
        <c:axId val="1453532680"/>
      </c:lineChart>
      <c:catAx>
        <c:axId val="14125404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453532680"/>
        <c:crosses val="autoZero"/>
        <c:auto val="1"/>
        <c:lblAlgn val="ctr"/>
        <c:lblOffset val="100"/>
        <c:noMultiLvlLbl val="0"/>
      </c:catAx>
      <c:valAx>
        <c:axId val="1453532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412540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Weekly intakes of Other Types of Raisins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Other!$B$9:$B$14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cat>
          <c:val>
            <c:numRef>
              <c:f>Other!$G$9:$G$14</c:f>
              <c:numCache>
                <c:formatCode>#,##0</c:formatCode>
                <c:ptCount val="6"/>
                <c:pt idx="0">
                  <c:v>180929.31</c:v>
                </c:pt>
                <c:pt idx="1">
                  <c:v>274185.24</c:v>
                </c:pt>
                <c:pt idx="2">
                  <c:v>516844.78</c:v>
                </c:pt>
                <c:pt idx="3">
                  <c:v>687315.3</c:v>
                </c:pt>
                <c:pt idx="4">
                  <c:v>899755.85000000009</c:v>
                </c:pt>
                <c:pt idx="5">
                  <c:v>966577.3600000001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CB-42D3-8E00-80A97CBD35C5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Other!$B$9:$B$14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cat>
          <c:val>
            <c:numRef>
              <c:f>Other!$I$9:$I$14</c:f>
              <c:numCache>
                <c:formatCode>#,##0</c:formatCode>
                <c:ptCount val="6"/>
                <c:pt idx="0">
                  <c:v>31440</c:v>
                </c:pt>
                <c:pt idx="1">
                  <c:v>507731.97</c:v>
                </c:pt>
                <c:pt idx="2">
                  <c:v>660698.11</c:v>
                </c:pt>
                <c:pt idx="3">
                  <c:v>860160.66999999993</c:v>
                </c:pt>
                <c:pt idx="4">
                  <c:v>1006021.8</c:v>
                </c:pt>
                <c:pt idx="5">
                  <c:v>1297364.9300000002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CB-42D3-8E00-80A97CBD3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1648648"/>
        <c:axId val="561650696"/>
      </c:lineChart>
      <c:catAx>
        <c:axId val="561648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561650696"/>
        <c:crosses val="autoZero"/>
        <c:auto val="1"/>
        <c:lblAlgn val="ctr"/>
        <c:lblOffset val="100"/>
        <c:noMultiLvlLbl val="0"/>
      </c:catAx>
      <c:valAx>
        <c:axId val="561650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561648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Orange River Weekly intakes of Other Types of Raisins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Other!$B$46:$B$51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cat>
          <c:val>
            <c:numRef>
              <c:f>Other!$G$46:$G$51</c:f>
              <c:numCache>
                <c:formatCode>#,##0</c:formatCode>
                <c:ptCount val="6"/>
                <c:pt idx="0">
                  <c:v>178440.81</c:v>
                </c:pt>
                <c:pt idx="1">
                  <c:v>250181.21</c:v>
                </c:pt>
                <c:pt idx="2">
                  <c:v>483532.20999999996</c:v>
                </c:pt>
                <c:pt idx="3">
                  <c:v>648837.71</c:v>
                </c:pt>
                <c:pt idx="4">
                  <c:v>852505.71</c:v>
                </c:pt>
                <c:pt idx="5">
                  <c:v>917787.71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D6-41B3-BCB7-1AB83283A13A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Other!$B$46:$B$51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cat>
          <c:val>
            <c:numRef>
              <c:f>Other!$I$46:$I$51</c:f>
              <c:numCache>
                <c:formatCode>#,##0</c:formatCode>
                <c:ptCount val="6"/>
                <c:pt idx="0">
                  <c:v>31440</c:v>
                </c:pt>
                <c:pt idx="1">
                  <c:v>200826.76</c:v>
                </c:pt>
                <c:pt idx="2">
                  <c:v>256266.26</c:v>
                </c:pt>
                <c:pt idx="3">
                  <c:v>369572.26</c:v>
                </c:pt>
                <c:pt idx="4">
                  <c:v>430731.77</c:v>
                </c:pt>
                <c:pt idx="5">
                  <c:v>630087.79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D6-41B3-BCB7-1AB83283A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1648648"/>
        <c:axId val="561650696"/>
      </c:lineChart>
      <c:catAx>
        <c:axId val="561648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561650696"/>
        <c:crosses val="autoZero"/>
        <c:auto val="1"/>
        <c:lblAlgn val="ctr"/>
        <c:lblOffset val="100"/>
        <c:noMultiLvlLbl val="0"/>
      </c:catAx>
      <c:valAx>
        <c:axId val="561650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561648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Olifants River Weekly intakes of Other Types of Raisins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Other!$B$83:$B$87</c:f>
              <c:numCache>
                <c:formatCode>General</c:formatCode>
                <c:ptCount val="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</c:numCache>
            </c:numRef>
          </c:cat>
          <c:val>
            <c:numRef>
              <c:f>Other!$G$83:$G$87</c:f>
              <c:numCache>
                <c:formatCode>#,##0</c:formatCode>
                <c:ptCount val="5"/>
                <c:pt idx="0">
                  <c:v>0</c:v>
                </c:pt>
                <c:pt idx="1">
                  <c:v>9008.51</c:v>
                </c:pt>
                <c:pt idx="2">
                  <c:v>13194.53</c:v>
                </c:pt>
                <c:pt idx="3">
                  <c:v>17971.050000000003</c:v>
                </c:pt>
                <c:pt idx="4">
                  <c:v>17971.050000000003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{"2026"}</c15:sqref>
                        </c15:formulaRef>
                      </c:ext>
                    </c:extLst>
                    <c:strCache>
                      <c:ptCount val="1"/>
                      <c:pt idx="0">
                        <c:v>2026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19-446D-9948-3B94FDD3A490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Other!$B$83:$B$87</c:f>
              <c:numCache>
                <c:formatCode>General</c:formatCode>
                <c:ptCount val="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</c:numCache>
            </c:numRef>
          </c:cat>
          <c:val>
            <c:numRef>
              <c:f>Other!$I$83:$I$87</c:f>
              <c:numCache>
                <c:formatCode>#,##0</c:formatCode>
                <c:ptCount val="5"/>
                <c:pt idx="0">
                  <c:v>0</c:v>
                </c:pt>
                <c:pt idx="1">
                  <c:v>222139.57</c:v>
                </c:pt>
                <c:pt idx="2">
                  <c:v>250966.09</c:v>
                </c:pt>
                <c:pt idx="3">
                  <c:v>305291.63</c:v>
                </c:pt>
                <c:pt idx="4">
                  <c:v>337703.17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{"2025"}</c15:sqref>
                        </c15:formulaRef>
                      </c:ext>
                    </c:extLst>
                    <c:strCache>
                      <c:ptCount val="1"/>
                      <c:pt idx="0">
                        <c:v>2025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19-446D-9948-3B94FDD3A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1648648"/>
        <c:axId val="561650696"/>
      </c:lineChart>
      <c:catAx>
        <c:axId val="561648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561650696"/>
        <c:crosses val="autoZero"/>
        <c:auto val="1"/>
        <c:lblAlgn val="ctr"/>
        <c:lblOffset val="100"/>
        <c:noMultiLvlLbl val="0"/>
      </c:catAx>
      <c:valAx>
        <c:axId val="561650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561648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Namibia Weekly intakes of Other Types of Raisins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Other!$B$120:$B$124</c:f>
              <c:numCache>
                <c:formatCode>General</c:formatCode>
                <c:ptCount val="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</c:numCache>
            </c:numRef>
          </c:cat>
          <c:val>
            <c:numRef>
              <c:f>Other!$G$120:$G$124</c:f>
              <c:numCache>
                <c:formatCode>#,##0</c:formatCode>
                <c:ptCount val="5"/>
                <c:pt idx="0">
                  <c:v>2488.5</c:v>
                </c:pt>
                <c:pt idx="1">
                  <c:v>14995.52</c:v>
                </c:pt>
                <c:pt idx="2">
                  <c:v>20118.04</c:v>
                </c:pt>
                <c:pt idx="3">
                  <c:v>20506.54</c:v>
                </c:pt>
                <c:pt idx="4">
                  <c:v>29279.09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{"2026"}</c15:sqref>
                        </c15:formulaRef>
                      </c:ext>
                    </c:extLst>
                    <c:strCache>
                      <c:ptCount val="1"/>
                      <c:pt idx="0">
                        <c:v>2026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A33-4A0A-8BD4-DCB4A2ABAB67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Other!$B$120:$B$124</c:f>
              <c:numCache>
                <c:formatCode>General</c:formatCode>
                <c:ptCount val="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</c:numCache>
            </c:numRef>
          </c:cat>
          <c:val>
            <c:numRef>
              <c:f>Other!$I$120:$I$124</c:f>
              <c:numCache>
                <c:formatCode>#,##0</c:formatCode>
                <c:ptCount val="5"/>
                <c:pt idx="0">
                  <c:v>0</c:v>
                </c:pt>
                <c:pt idx="1">
                  <c:v>84765.64</c:v>
                </c:pt>
                <c:pt idx="2">
                  <c:v>153465.76</c:v>
                </c:pt>
                <c:pt idx="3">
                  <c:v>185296.78</c:v>
                </c:pt>
                <c:pt idx="4">
                  <c:v>237586.86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{"2025"}</c15:sqref>
                        </c15:formulaRef>
                      </c:ext>
                    </c:extLst>
                    <c:strCache>
                      <c:ptCount val="1"/>
                      <c:pt idx="0">
                        <c:v>2025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A33-4A0A-8BD4-DCB4A2ABA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1648648"/>
        <c:axId val="561650696"/>
      </c:lineChart>
      <c:catAx>
        <c:axId val="561648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561650696"/>
        <c:crosses val="autoZero"/>
        <c:auto val="1"/>
        <c:lblAlgn val="ctr"/>
        <c:lblOffset val="100"/>
        <c:noMultiLvlLbl val="0"/>
      </c:catAx>
      <c:valAx>
        <c:axId val="561650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561648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for Namibia of the Weekly Raisin intakes in kilogram for 2025, 2026 and a 3 Year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Raisins'!$B$119:$B$123</c:f>
              <c:numCache>
                <c:formatCode>General</c:formatCode>
                <c:ptCount val="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</c:numCache>
            </c:numRef>
          </c:cat>
          <c:val>
            <c:numRef>
              <c:f>'Total Raisins'!$G$119:$G$123</c:f>
              <c:numCache>
                <c:formatCode>#,##0</c:formatCode>
                <c:ptCount val="5"/>
                <c:pt idx="0">
                  <c:v>195414.01</c:v>
                </c:pt>
                <c:pt idx="1">
                  <c:v>409288.71</c:v>
                </c:pt>
                <c:pt idx="2">
                  <c:v>654558.93000000005</c:v>
                </c:pt>
                <c:pt idx="3">
                  <c:v>854143.59000000008</c:v>
                </c:pt>
                <c:pt idx="4">
                  <c:v>1180899.52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16-4922-88F9-437B644D7851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Raisins'!$B$119:$B$123</c:f>
              <c:numCache>
                <c:formatCode>General</c:formatCode>
                <c:ptCount val="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</c:numCache>
            </c:numRef>
          </c:cat>
          <c:val>
            <c:numRef>
              <c:f>'Total Raisins'!$I$119:$I$123</c:f>
              <c:numCache>
                <c:formatCode>#,##0</c:formatCode>
                <c:ptCount val="5"/>
                <c:pt idx="0">
                  <c:v>0</c:v>
                </c:pt>
                <c:pt idx="1">
                  <c:v>588125.4</c:v>
                </c:pt>
                <c:pt idx="2">
                  <c:v>843638.19000000006</c:v>
                </c:pt>
                <c:pt idx="3">
                  <c:v>1038226.76</c:v>
                </c:pt>
                <c:pt idx="4">
                  <c:v>1216717.8999999999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16-4922-88F9-437B644D7851}"/>
            </c:ext>
          </c:extLst>
        </c:ser>
        <c:ser>
          <c:idx val="2"/>
          <c:order val="2"/>
          <c:tx>
            <c:v>3 Year Average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Raisins'!$B$119:$B$123</c:f>
              <c:numCache>
                <c:formatCode>General</c:formatCode>
                <c:ptCount val="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</c:numCache>
            </c:numRef>
          </c:cat>
          <c:val>
            <c:numRef>
              <c:f>'Total Raisins'!$L$119:$L$123</c:f>
              <c:numCache>
                <c:formatCode>#,##0</c:formatCode>
                <c:ptCount val="5"/>
                <c:pt idx="0">
                  <c:v>155719.34</c:v>
                </c:pt>
                <c:pt idx="1">
                  <c:v>549067.80666666664</c:v>
                </c:pt>
                <c:pt idx="2">
                  <c:v>782067.57</c:v>
                </c:pt>
                <c:pt idx="3">
                  <c:v>965953.92666666664</c:v>
                </c:pt>
                <c:pt idx="4">
                  <c:v>1279316.6433333333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716-4922-88F9-437B644D7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429512"/>
        <c:axId val="617472520"/>
      </c:lineChart>
      <c:catAx>
        <c:axId val="617429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617472520"/>
        <c:crosses val="autoZero"/>
        <c:auto val="1"/>
        <c:lblAlgn val="ctr"/>
        <c:lblOffset val="100"/>
        <c:noMultiLvlLbl val="0"/>
      </c:catAx>
      <c:valAx>
        <c:axId val="617472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617429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for the Olifants River of the Weekly Raisin intakes in kilogram for 2025, 2026 and a 3 Year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Raisins'!$B$119:$B$124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cat>
          <c:val>
            <c:numRef>
              <c:f>'Total Raisins'!$G$119:$G$124</c:f>
              <c:numCache>
                <c:formatCode>#,##0</c:formatCode>
                <c:ptCount val="6"/>
                <c:pt idx="0">
                  <c:v>195414.01</c:v>
                </c:pt>
                <c:pt idx="1">
                  <c:v>409288.71</c:v>
                </c:pt>
                <c:pt idx="2">
                  <c:v>654558.93000000005</c:v>
                </c:pt>
                <c:pt idx="3">
                  <c:v>854143.59000000008</c:v>
                </c:pt>
                <c:pt idx="4">
                  <c:v>1180899.52</c:v>
                </c:pt>
                <c:pt idx="5">
                  <c:v>1469284.19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8-476B-AB10-243FD57246F4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Raisins'!$B$119:$B$124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cat>
          <c:val>
            <c:numRef>
              <c:f>'Total Raisins'!$I$119:$I$124</c:f>
              <c:numCache>
                <c:formatCode>#,##0</c:formatCode>
                <c:ptCount val="6"/>
                <c:pt idx="0">
                  <c:v>0</c:v>
                </c:pt>
                <c:pt idx="1">
                  <c:v>588125.4</c:v>
                </c:pt>
                <c:pt idx="2">
                  <c:v>843638.19000000006</c:v>
                </c:pt>
                <c:pt idx="3">
                  <c:v>1038226.76</c:v>
                </c:pt>
                <c:pt idx="4">
                  <c:v>1216717.8999999999</c:v>
                </c:pt>
                <c:pt idx="5">
                  <c:v>1481415.51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58-476B-AB10-243FD57246F4}"/>
            </c:ext>
          </c:extLst>
        </c:ser>
        <c:ser>
          <c:idx val="2"/>
          <c:order val="2"/>
          <c:tx>
            <c:v>3 Year Average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Raisins'!$B$119:$B$124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cat>
          <c:val>
            <c:numRef>
              <c:f>'Total Raisins'!$L$119:$L$124</c:f>
              <c:numCache>
                <c:formatCode>#,##0</c:formatCode>
                <c:ptCount val="6"/>
                <c:pt idx="0">
                  <c:v>155719.34</c:v>
                </c:pt>
                <c:pt idx="1">
                  <c:v>549067.80666666664</c:v>
                </c:pt>
                <c:pt idx="2">
                  <c:v>782067.57</c:v>
                </c:pt>
                <c:pt idx="3">
                  <c:v>965953.92666666664</c:v>
                </c:pt>
                <c:pt idx="4">
                  <c:v>1279316.6433333333</c:v>
                </c:pt>
                <c:pt idx="5">
                  <c:v>1497261.0133333334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58-476B-AB10-243FD5724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2540424"/>
        <c:axId val="1453532680"/>
      </c:lineChart>
      <c:catAx>
        <c:axId val="14125404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453532680"/>
        <c:crosses val="autoZero"/>
        <c:auto val="1"/>
        <c:lblAlgn val="ctr"/>
        <c:lblOffset val="100"/>
        <c:noMultiLvlLbl val="0"/>
      </c:catAx>
      <c:valAx>
        <c:axId val="1453532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412540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Weekly Thompson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Thompsons!$B$9:$B$14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cat>
          <c:val>
            <c:numRef>
              <c:f>Thompsons!$G$9:$G$14</c:f>
              <c:numCache>
                <c:formatCode>#,##0</c:formatCode>
                <c:ptCount val="6"/>
                <c:pt idx="0">
                  <c:v>696917.44</c:v>
                </c:pt>
                <c:pt idx="1">
                  <c:v>5079668.8599999994</c:v>
                </c:pt>
                <c:pt idx="2">
                  <c:v>11235213.149999999</c:v>
                </c:pt>
                <c:pt idx="3">
                  <c:v>16880833.799999997</c:v>
                </c:pt>
                <c:pt idx="4">
                  <c:v>22099987.559999995</c:v>
                </c:pt>
                <c:pt idx="5">
                  <c:v>26552421.709999993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D7-4EDF-85C2-BE7BB4B4058D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Thompsons!$B$9:$B$14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cat>
          <c:val>
            <c:numRef>
              <c:f>Thompsons!$I$9:$I$14</c:f>
              <c:numCache>
                <c:formatCode>#,##0</c:formatCode>
                <c:ptCount val="6"/>
                <c:pt idx="0">
                  <c:v>138230</c:v>
                </c:pt>
                <c:pt idx="1">
                  <c:v>2214330.09</c:v>
                </c:pt>
                <c:pt idx="2">
                  <c:v>4249681.05</c:v>
                </c:pt>
                <c:pt idx="3">
                  <c:v>8226755.4399999995</c:v>
                </c:pt>
                <c:pt idx="4">
                  <c:v>13682648.109999999</c:v>
                </c:pt>
                <c:pt idx="5">
                  <c:v>18805970.48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D7-4EDF-85C2-BE7BB4B40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280456"/>
        <c:axId val="82282504"/>
      </c:lineChart>
      <c:catAx>
        <c:axId val="82280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82282504"/>
        <c:crosses val="autoZero"/>
        <c:auto val="1"/>
        <c:lblAlgn val="ctr"/>
        <c:lblOffset val="100"/>
        <c:noMultiLvlLbl val="0"/>
      </c:catAx>
      <c:valAx>
        <c:axId val="82282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82280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Orange River Weekly Thompson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Thompsons!$B$46:$B$51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cat>
          <c:val>
            <c:numRef>
              <c:f>Thompsons!$G$46:$G$51</c:f>
              <c:numCache>
                <c:formatCode>#,##0</c:formatCode>
                <c:ptCount val="6"/>
                <c:pt idx="0">
                  <c:v>607068.43999999994</c:v>
                </c:pt>
                <c:pt idx="1">
                  <c:v>4696237.24</c:v>
                </c:pt>
                <c:pt idx="2">
                  <c:v>10280704.350000001</c:v>
                </c:pt>
                <c:pt idx="3">
                  <c:v>15259010.370000001</c:v>
                </c:pt>
                <c:pt idx="4">
                  <c:v>19755077.950000003</c:v>
                </c:pt>
                <c:pt idx="5">
                  <c:v>23149503.470000003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37-4697-997B-EFE7B3BE2280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Thompsons!$B$46:$B$51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cat>
          <c:val>
            <c:numRef>
              <c:f>Thompsons!$I$46:$I$51</c:f>
              <c:numCache>
                <c:formatCode>#,##0</c:formatCode>
                <c:ptCount val="6"/>
                <c:pt idx="0">
                  <c:v>138230</c:v>
                </c:pt>
                <c:pt idx="1">
                  <c:v>1894633.81</c:v>
                </c:pt>
                <c:pt idx="2">
                  <c:v>3451115.6500000004</c:v>
                </c:pt>
                <c:pt idx="3">
                  <c:v>6904691.4900000002</c:v>
                </c:pt>
                <c:pt idx="4">
                  <c:v>11259914.050000001</c:v>
                </c:pt>
                <c:pt idx="5">
                  <c:v>15558330.109999999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37-4697-997B-EFE7B3BE2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280456"/>
        <c:axId val="82282504"/>
      </c:lineChart>
      <c:catAx>
        <c:axId val="82280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82282504"/>
        <c:crosses val="autoZero"/>
        <c:auto val="1"/>
        <c:lblAlgn val="ctr"/>
        <c:lblOffset val="100"/>
        <c:noMultiLvlLbl val="0"/>
      </c:catAx>
      <c:valAx>
        <c:axId val="82282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82280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Olifants River Weekly Thompson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Thompsons!$B$83:$B$88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cat>
          <c:val>
            <c:numRef>
              <c:f>Thompsons!$G$83:$G$88</c:f>
              <c:numCache>
                <c:formatCode>#,##0</c:formatCode>
                <c:ptCount val="6"/>
                <c:pt idx="0">
                  <c:v>0</c:v>
                </c:pt>
                <c:pt idx="1">
                  <c:v>233713.08</c:v>
                </c:pt>
                <c:pt idx="2">
                  <c:v>711113.66</c:v>
                </c:pt>
                <c:pt idx="3">
                  <c:v>1353896.26</c:v>
                </c:pt>
                <c:pt idx="4">
                  <c:v>1991306.27</c:v>
                </c:pt>
                <c:pt idx="5">
                  <c:v>2952529.88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BA-4A92-A39E-12F5F0C3EB0A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Thompsons!$B$83:$B$88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cat>
          <c:val>
            <c:numRef>
              <c:f>Thompsons!$I$83:$I$88</c:f>
              <c:numCache>
                <c:formatCode>#,##0</c:formatCode>
                <c:ptCount val="6"/>
                <c:pt idx="0">
                  <c:v>0</c:v>
                </c:pt>
                <c:pt idx="1">
                  <c:v>66980.570000000007</c:v>
                </c:pt>
                <c:pt idx="2">
                  <c:v>436292.08</c:v>
                </c:pt>
                <c:pt idx="3">
                  <c:v>878614.59000000008</c:v>
                </c:pt>
                <c:pt idx="4">
                  <c:v>1953189.11</c:v>
                </c:pt>
                <c:pt idx="5">
                  <c:v>2668899.4300000002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A-4A92-A39E-12F5F0C3E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280456"/>
        <c:axId val="82282504"/>
      </c:lineChart>
      <c:catAx>
        <c:axId val="82280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82282504"/>
        <c:crosses val="autoZero"/>
        <c:auto val="1"/>
        <c:lblAlgn val="ctr"/>
        <c:lblOffset val="100"/>
        <c:noMultiLvlLbl val="0"/>
      </c:catAx>
      <c:valAx>
        <c:axId val="82282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82280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Namibia Weekly Thompson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Thompsons!$B$120:$B$125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cat>
          <c:val>
            <c:numRef>
              <c:f>Thompsons!$G$120:$G$125</c:f>
              <c:numCache>
                <c:formatCode>#,##0</c:formatCode>
                <c:ptCount val="6"/>
                <c:pt idx="0">
                  <c:v>89849</c:v>
                </c:pt>
                <c:pt idx="1">
                  <c:v>149718.54</c:v>
                </c:pt>
                <c:pt idx="2">
                  <c:v>243395.14</c:v>
                </c:pt>
                <c:pt idx="3">
                  <c:v>267927.17000000004</c:v>
                </c:pt>
                <c:pt idx="4">
                  <c:v>353603.34</c:v>
                </c:pt>
                <c:pt idx="5">
                  <c:v>450388.36000000004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2A-40DE-90C7-A689D6428F43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Thompsons!$B$120:$B$125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cat>
          <c:val>
            <c:numRef>
              <c:f>Thompsons!$I$120:$I$125</c:f>
              <c:numCache>
                <c:formatCode>#,##0</c:formatCode>
                <c:ptCount val="6"/>
                <c:pt idx="0">
                  <c:v>0</c:v>
                </c:pt>
                <c:pt idx="1">
                  <c:v>252715.71</c:v>
                </c:pt>
                <c:pt idx="2">
                  <c:v>362273.32</c:v>
                </c:pt>
                <c:pt idx="3">
                  <c:v>443449.36</c:v>
                </c:pt>
                <c:pt idx="4">
                  <c:v>469545.39</c:v>
                </c:pt>
                <c:pt idx="5">
                  <c:v>578740.94000000006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2A-40DE-90C7-A689D6428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280456"/>
        <c:axId val="82282504"/>
      </c:lineChart>
      <c:catAx>
        <c:axId val="82280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82282504"/>
        <c:crosses val="autoZero"/>
        <c:auto val="1"/>
        <c:lblAlgn val="ctr"/>
        <c:lblOffset val="100"/>
        <c:noMultiLvlLbl val="0"/>
      </c:catAx>
      <c:valAx>
        <c:axId val="82282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82280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1.png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image" Target="../media/image1.png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image" Target="../media/image1.png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image" Target="../media/image1.png"/><Relationship Id="rId5" Type="http://schemas.openxmlformats.org/officeDocument/2006/relationships/chart" Target="../charts/chart21.xml"/><Relationship Id="rId4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image" Target="../media/image1.png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image" Target="../media/image1.png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image" Target="../media/image1.png"/><Relationship Id="rId5" Type="http://schemas.openxmlformats.org/officeDocument/2006/relationships/chart" Target="../charts/chart33.xml"/><Relationship Id="rId4" Type="http://schemas.openxmlformats.org/officeDocument/2006/relationships/chart" Target="../charts/chart3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230505</xdr:colOff>
      <xdr:row>36</xdr:row>
      <xdr:rowOff>144463</xdr:rowOff>
    </xdr:from>
    <xdr:ext cx="1571625" cy="662733"/>
    <xdr:pic>
      <xdr:nvPicPr>
        <xdr:cNvPr id="4" name="Picture 3">
          <a:extLst>
            <a:ext uri="{FF2B5EF4-FFF2-40B4-BE49-F238E27FC236}">
              <a16:creationId xmlns:a16="http://schemas.microsoft.com/office/drawing/2014/main" id="{D24A1C87-0ACF-49F2-9F3A-5E8AF905F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" y="4216401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275908</xdr:colOff>
      <xdr:row>73</xdr:row>
      <xdr:rowOff>125413</xdr:rowOff>
    </xdr:from>
    <xdr:ext cx="1571625" cy="662733"/>
    <xdr:pic>
      <xdr:nvPicPr>
        <xdr:cNvPr id="8" name="Picture 4">
          <a:extLst>
            <a:ext uri="{FF2B5EF4-FFF2-40B4-BE49-F238E27FC236}">
              <a16:creationId xmlns:a16="http://schemas.microsoft.com/office/drawing/2014/main" id="{5D1229E2-521C-4954-8F84-A9396160A389}"/>
            </a:ext>
            <a:ext uri="{147F2762-F138-4A5C-976F-8EAC2B608ADB}">
              <a16:predDERef xmlns:a16="http://schemas.microsoft.com/office/drawing/2014/main" pred="{D24A1C87-0ACF-49F2-9F3A-5E8AF905F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8" y="7602538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295275</xdr:colOff>
      <xdr:row>111</xdr:row>
      <xdr:rowOff>9208</xdr:rowOff>
    </xdr:from>
    <xdr:ext cx="1571625" cy="662733"/>
    <xdr:pic>
      <xdr:nvPicPr>
        <xdr:cNvPr id="10" name="Picture 5">
          <a:extLst>
            <a:ext uri="{FF2B5EF4-FFF2-40B4-BE49-F238E27FC236}">
              <a16:creationId xmlns:a16="http://schemas.microsoft.com/office/drawing/2014/main" id="{C7AD1D8B-CAB1-4147-A3E4-C5D19549C659}"/>
            </a:ext>
            <a:ext uri="{147F2762-F138-4A5C-976F-8EAC2B608ADB}">
              <a16:predDERef xmlns:a16="http://schemas.microsoft.com/office/drawing/2014/main" pred="{5D1229E2-521C-4954-8F84-A9396160A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275" y="12391708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9</xdr:col>
      <xdr:colOff>500063</xdr:colOff>
      <xdr:row>2</xdr:row>
      <xdr:rowOff>23813</xdr:rowOff>
    </xdr:from>
    <xdr:to>
      <xdr:col>12</xdr:col>
      <xdr:colOff>134938</xdr:colOff>
      <xdr:row>2</xdr:row>
      <xdr:rowOff>573522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AA56B0-596F-60B1-2BB1-EB05B7A4B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175626" y="388938"/>
          <a:ext cx="1857375" cy="549709"/>
        </a:xfrm>
        <a:prstGeom prst="rect">
          <a:avLst/>
        </a:prstGeom>
      </xdr:spPr>
    </xdr:pic>
    <xdr:clientData/>
  </xdr:twoCellAnchor>
  <xdr:oneCellAnchor>
    <xdr:from>
      <xdr:col>1</xdr:col>
      <xdr:colOff>214313</xdr:colOff>
      <xdr:row>1</xdr:row>
      <xdr:rowOff>164464</xdr:rowOff>
    </xdr:from>
    <xdr:ext cx="1571625" cy="662733"/>
    <xdr:pic>
      <xdr:nvPicPr>
        <xdr:cNvPr id="9" name="Picture 2">
          <a:extLst>
            <a:ext uri="{FF2B5EF4-FFF2-40B4-BE49-F238E27FC236}">
              <a16:creationId xmlns:a16="http://schemas.microsoft.com/office/drawing/2014/main" id="{9A179D00-5A02-4627-83D4-0A38E401A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13" y="347027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12</xdr:col>
      <xdr:colOff>428625</xdr:colOff>
      <xdr:row>1</xdr:row>
      <xdr:rowOff>171450</xdr:rowOff>
    </xdr:from>
    <xdr:to>
      <xdr:col>17</xdr:col>
      <xdr:colOff>266700</xdr:colOff>
      <xdr:row>12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4A7636A-328B-21D5-04F1-679C2CBF5247}"/>
            </a:ext>
            <a:ext uri="{147F2762-F138-4A5C-976F-8EAC2B608ADB}">
              <a16:predDERef xmlns:a16="http://schemas.microsoft.com/office/drawing/2014/main" pred="{9A179D00-5A02-4627-83D4-0A38E401AC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352425</xdr:colOff>
      <xdr:row>37</xdr:row>
      <xdr:rowOff>114300</xdr:rowOff>
    </xdr:from>
    <xdr:to>
      <xdr:col>17</xdr:col>
      <xdr:colOff>276225</xdr:colOff>
      <xdr:row>49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6B940BD-D9A6-CAAF-E344-B9BFE7AAC302}"/>
            </a:ext>
            <a:ext uri="{147F2762-F138-4A5C-976F-8EAC2B608ADB}">
              <a16:predDERef xmlns:a16="http://schemas.microsoft.com/office/drawing/2014/main" pred="{94A7636A-328B-21D5-04F1-679C2CBF52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447675</xdr:colOff>
      <xdr:row>74</xdr:row>
      <xdr:rowOff>95250</xdr:rowOff>
    </xdr:from>
    <xdr:to>
      <xdr:col>17</xdr:col>
      <xdr:colOff>257175</xdr:colOff>
      <xdr:row>87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580904A-EDD0-77AF-B5F6-50C4C4C12C58}"/>
            </a:ext>
            <a:ext uri="{147F2762-F138-4A5C-976F-8EAC2B608ADB}">
              <a16:predDERef xmlns:a16="http://schemas.microsoft.com/office/drawing/2014/main" pred="{F6B940BD-D9A6-CAAF-E344-B9BFE7AAC3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-3467100</xdr:rowOff>
    </xdr:from>
    <xdr:to>
      <xdr:col>0</xdr:col>
      <xdr:colOff>0</xdr:colOff>
      <xdr:row>0</xdr:row>
      <xdr:rowOff>-3467100</xdr:rowOff>
    </xdr:to>
    <xdr:graphicFrame macro="">
      <xdr:nvGraphicFramePr>
        <xdr:cNvPr id="6" name="Chart 10">
          <a:extLst>
            <a:ext uri="{FF2B5EF4-FFF2-40B4-BE49-F238E27FC236}">
              <a16:creationId xmlns:a16="http://schemas.microsoft.com/office/drawing/2014/main" id="{24AD6971-7E4D-F3F6-1905-C0005EFAEC7F}"/>
            </a:ext>
            <a:ext uri="{147F2762-F138-4A5C-976F-8EAC2B608ADB}">
              <a16:predDERef xmlns:a16="http://schemas.microsoft.com/office/drawing/2014/main" pred="{1580904A-EDD0-77AF-B5F6-50C4C4C12C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485775</xdr:colOff>
      <xdr:row>111</xdr:row>
      <xdr:rowOff>104775</xdr:rowOff>
    </xdr:from>
    <xdr:to>
      <xdr:col>17</xdr:col>
      <xdr:colOff>295275</xdr:colOff>
      <xdr:row>124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36DEB128-F733-4F1E-A80F-8C0FF056901F}"/>
            </a:ext>
            <a:ext uri="{147F2762-F138-4A5C-976F-8EAC2B608ADB}">
              <a16:predDERef xmlns:a16="http://schemas.microsoft.com/office/drawing/2014/main" pred="{F6B940BD-D9A6-CAAF-E344-B9BFE7AAC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187325</xdr:colOff>
      <xdr:row>0</xdr:row>
      <xdr:rowOff>12700</xdr:rowOff>
    </xdr:from>
    <xdr:ext cx="1630680" cy="687636"/>
    <xdr:pic>
      <xdr:nvPicPr>
        <xdr:cNvPr id="2" name="Picture 1">
          <a:extLst>
            <a:ext uri="{FF2B5EF4-FFF2-40B4-BE49-F238E27FC236}">
              <a16:creationId xmlns:a16="http://schemas.microsoft.com/office/drawing/2014/main" id="{9F1562DE-A508-467B-A4CA-6CBE83CB7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2700"/>
          <a:ext cx="1630680" cy="68763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223520</xdr:colOff>
      <xdr:row>37</xdr:row>
      <xdr:rowOff>65405</xdr:rowOff>
    </xdr:from>
    <xdr:ext cx="1571625" cy="662733"/>
    <xdr:pic>
      <xdr:nvPicPr>
        <xdr:cNvPr id="3" name="Picture 2">
          <a:extLst>
            <a:ext uri="{FF2B5EF4-FFF2-40B4-BE49-F238E27FC236}">
              <a16:creationId xmlns:a16="http://schemas.microsoft.com/office/drawing/2014/main" id="{F1C49932-AC97-41D4-82CD-8F5310CB5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" y="371665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223520</xdr:colOff>
      <xdr:row>74</xdr:row>
      <xdr:rowOff>27305</xdr:rowOff>
    </xdr:from>
    <xdr:ext cx="1571625" cy="662733"/>
    <xdr:pic>
      <xdr:nvPicPr>
        <xdr:cNvPr id="4" name="Picture 3">
          <a:extLst>
            <a:ext uri="{FF2B5EF4-FFF2-40B4-BE49-F238E27FC236}">
              <a16:creationId xmlns:a16="http://schemas.microsoft.com/office/drawing/2014/main" id="{0E1FCEF6-CA64-4A58-AD83-37CC5449A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" y="719645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191770</xdr:colOff>
      <xdr:row>111</xdr:row>
      <xdr:rowOff>11430</xdr:rowOff>
    </xdr:from>
    <xdr:ext cx="1571625" cy="662733"/>
    <xdr:pic>
      <xdr:nvPicPr>
        <xdr:cNvPr id="6" name="Picture 5">
          <a:extLst>
            <a:ext uri="{FF2B5EF4-FFF2-40B4-BE49-F238E27FC236}">
              <a16:creationId xmlns:a16="http://schemas.microsoft.com/office/drawing/2014/main" id="{E20C1AE3-52CC-475F-9993-A7B4EDE78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770" y="1087628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9</xdr:col>
      <xdr:colOff>590550</xdr:colOff>
      <xdr:row>1</xdr:row>
      <xdr:rowOff>171450</xdr:rowOff>
    </xdr:from>
    <xdr:to>
      <xdr:col>16</xdr:col>
      <xdr:colOff>390525</xdr:colOff>
      <xdr:row>31</xdr:row>
      <xdr:rowOff>9525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7478DC1-8966-E20A-7020-13D8CE0D2311}"/>
            </a:ext>
            <a:ext uri="{147F2762-F138-4A5C-976F-8EAC2B608ADB}">
              <a16:predDERef xmlns:a16="http://schemas.microsoft.com/office/drawing/2014/main" pred="{E20C1AE3-52CC-475F-9993-A7B4EDE788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590550</xdr:colOff>
      <xdr:row>38</xdr:row>
      <xdr:rowOff>219075</xdr:rowOff>
    </xdr:from>
    <xdr:to>
      <xdr:col>16</xdr:col>
      <xdr:colOff>390525</xdr:colOff>
      <xdr:row>50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428BED5-3055-4E67-B7F8-AB39A1B45979}"/>
            </a:ext>
            <a:ext uri="{147F2762-F138-4A5C-976F-8EAC2B608ADB}">
              <a16:predDERef xmlns:a16="http://schemas.microsoft.com/office/drawing/2014/main" pred="{97478DC1-8966-E20A-7020-13D8CE0D23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581025</xdr:colOff>
      <xdr:row>75</xdr:row>
      <xdr:rowOff>209550</xdr:rowOff>
    </xdr:from>
    <xdr:to>
      <xdr:col>16</xdr:col>
      <xdr:colOff>381000</xdr:colOff>
      <xdr:row>87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7ED6FFE-EFE0-4F4F-8CAF-1CBD3678D025}"/>
            </a:ext>
            <a:ext uri="{147F2762-F138-4A5C-976F-8EAC2B608ADB}">
              <a16:predDERef xmlns:a16="http://schemas.microsoft.com/office/drawing/2014/main" pred="{E428BED5-3055-4E67-B7F8-AB39A1B459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112</xdr:row>
      <xdr:rowOff>219075</xdr:rowOff>
    </xdr:from>
    <xdr:to>
      <xdr:col>16</xdr:col>
      <xdr:colOff>400050</xdr:colOff>
      <xdr:row>142</xdr:row>
      <xdr:rowOff>19050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F3637E6-38C0-4142-A93C-6B42F88F3A59}"/>
            </a:ext>
            <a:ext uri="{147F2762-F138-4A5C-976F-8EAC2B608ADB}">
              <a16:predDERef xmlns:a16="http://schemas.microsoft.com/office/drawing/2014/main" pred="{47ED6FFE-EFE0-4F4F-8CAF-1CBD3678D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217805</xdr:colOff>
      <xdr:row>0</xdr:row>
      <xdr:rowOff>44450</xdr:rowOff>
    </xdr:from>
    <xdr:ext cx="1594485" cy="672373"/>
    <xdr:pic>
      <xdr:nvPicPr>
        <xdr:cNvPr id="6" name="Picture 5">
          <a:extLst>
            <a:ext uri="{FF2B5EF4-FFF2-40B4-BE49-F238E27FC236}">
              <a16:creationId xmlns:a16="http://schemas.microsoft.com/office/drawing/2014/main" id="{2A874578-E660-40CB-A38F-0285E0BD7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" y="44450"/>
          <a:ext cx="1594485" cy="67237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196850</xdr:colOff>
      <xdr:row>37</xdr:row>
      <xdr:rowOff>52070</xdr:rowOff>
    </xdr:from>
    <xdr:ext cx="1571625" cy="662733"/>
    <xdr:pic>
      <xdr:nvPicPr>
        <xdr:cNvPr id="7" name="Picture 6">
          <a:extLst>
            <a:ext uri="{FF2B5EF4-FFF2-40B4-BE49-F238E27FC236}">
              <a16:creationId xmlns:a16="http://schemas.microsoft.com/office/drawing/2014/main" id="{D7DF2150-BE0F-4765-95B1-AB0B40728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356997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264795</xdr:colOff>
      <xdr:row>74</xdr:row>
      <xdr:rowOff>49530</xdr:rowOff>
    </xdr:from>
    <xdr:ext cx="1571625" cy="662733"/>
    <xdr:pic>
      <xdr:nvPicPr>
        <xdr:cNvPr id="8" name="Picture 7">
          <a:extLst>
            <a:ext uri="{FF2B5EF4-FFF2-40B4-BE49-F238E27FC236}">
              <a16:creationId xmlns:a16="http://schemas.microsoft.com/office/drawing/2014/main" id="{0134FD21-4B0E-4DBF-9196-28443F132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795" y="744728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239395</xdr:colOff>
      <xdr:row>111</xdr:row>
      <xdr:rowOff>36830</xdr:rowOff>
    </xdr:from>
    <xdr:ext cx="1571625" cy="662733"/>
    <xdr:pic>
      <xdr:nvPicPr>
        <xdr:cNvPr id="9" name="Picture 8">
          <a:extLst>
            <a:ext uri="{FF2B5EF4-FFF2-40B4-BE49-F238E27FC236}">
              <a16:creationId xmlns:a16="http://schemas.microsoft.com/office/drawing/2014/main" id="{8376D35B-EFA9-4170-8255-99F2215C7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395" y="1114933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9</xdr:col>
      <xdr:colOff>590550</xdr:colOff>
      <xdr:row>1</xdr:row>
      <xdr:rowOff>152400</xdr:rowOff>
    </xdr:from>
    <xdr:to>
      <xdr:col>17</xdr:col>
      <xdr:colOff>276225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C5DC76-0520-BA7D-8888-9499B33DB8CA}"/>
            </a:ext>
            <a:ext uri="{147F2762-F138-4A5C-976F-8EAC2B608ADB}">
              <a16:predDERef xmlns:a16="http://schemas.microsoft.com/office/drawing/2014/main" pred="{8376D35B-EFA9-4170-8255-99F2215C71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590550</xdr:colOff>
      <xdr:row>38</xdr:row>
      <xdr:rowOff>161925</xdr:rowOff>
    </xdr:from>
    <xdr:to>
      <xdr:col>17</xdr:col>
      <xdr:colOff>276225</xdr:colOff>
      <xdr:row>68</xdr:row>
      <xdr:rowOff>28575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A29ECF1-BCDA-4514-B1C4-0CDD6CBE46EA}"/>
            </a:ext>
            <a:ext uri="{147F2762-F138-4A5C-976F-8EAC2B608ADB}">
              <a16:predDERef xmlns:a16="http://schemas.microsoft.com/office/drawing/2014/main" pred="{86C5DC76-0520-BA7D-8888-9499B33DB8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590550</xdr:colOff>
      <xdr:row>75</xdr:row>
      <xdr:rowOff>219075</xdr:rowOff>
    </xdr:from>
    <xdr:to>
      <xdr:col>17</xdr:col>
      <xdr:colOff>276225</xdr:colOff>
      <xdr:row>105</xdr:row>
      <xdr:rowOff>66675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9619B72-3D93-4273-AEA6-94E1F1E1C5C4}"/>
            </a:ext>
            <a:ext uri="{147F2762-F138-4A5C-976F-8EAC2B608ADB}">
              <a16:predDERef xmlns:a16="http://schemas.microsoft.com/office/drawing/2014/main" pred="{AA29ECF1-BCDA-4514-B1C4-0CDD6CBE46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112</xdr:row>
      <xdr:rowOff>200025</xdr:rowOff>
    </xdr:from>
    <xdr:to>
      <xdr:col>17</xdr:col>
      <xdr:colOff>257175</xdr:colOff>
      <xdr:row>142</xdr:row>
      <xdr:rowOff>47625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650A9E4F-DC8B-4FE7-AEF1-10BAFA46658E}"/>
            </a:ext>
            <a:ext uri="{147F2762-F138-4A5C-976F-8EAC2B608ADB}">
              <a16:predDERef xmlns:a16="http://schemas.microsoft.com/office/drawing/2014/main" pred="{89619B72-3D93-4273-AEA6-94E1F1E1C5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201295</xdr:colOff>
      <xdr:row>0</xdr:row>
      <xdr:rowOff>0</xdr:rowOff>
    </xdr:from>
    <xdr:ext cx="1571625" cy="662733"/>
    <xdr:pic>
      <xdr:nvPicPr>
        <xdr:cNvPr id="6" name="Picture 5">
          <a:extLst>
            <a:ext uri="{FF2B5EF4-FFF2-40B4-BE49-F238E27FC236}">
              <a16:creationId xmlns:a16="http://schemas.microsoft.com/office/drawing/2014/main" id="{B1078AE1-DC6E-4609-93F4-B955745A5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295" y="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166370</xdr:colOff>
      <xdr:row>37</xdr:row>
      <xdr:rowOff>74930</xdr:rowOff>
    </xdr:from>
    <xdr:ext cx="1571625" cy="662733"/>
    <xdr:pic>
      <xdr:nvPicPr>
        <xdr:cNvPr id="7" name="Picture 6">
          <a:extLst>
            <a:ext uri="{FF2B5EF4-FFF2-40B4-BE49-F238E27FC236}">
              <a16:creationId xmlns:a16="http://schemas.microsoft.com/office/drawing/2014/main" id="{21708414-4E1D-495E-B7F9-783A1EEFA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" y="359283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182245</xdr:colOff>
      <xdr:row>74</xdr:row>
      <xdr:rowOff>1905</xdr:rowOff>
    </xdr:from>
    <xdr:ext cx="1571625" cy="662733"/>
    <xdr:pic>
      <xdr:nvPicPr>
        <xdr:cNvPr id="8" name="Picture 7">
          <a:extLst>
            <a:ext uri="{FF2B5EF4-FFF2-40B4-BE49-F238E27FC236}">
              <a16:creationId xmlns:a16="http://schemas.microsoft.com/office/drawing/2014/main" id="{0A215455-BC06-4EA2-803B-DBF54F63C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245" y="725360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153670</xdr:colOff>
      <xdr:row>111</xdr:row>
      <xdr:rowOff>33655</xdr:rowOff>
    </xdr:from>
    <xdr:ext cx="1571625" cy="662733"/>
    <xdr:pic>
      <xdr:nvPicPr>
        <xdr:cNvPr id="9" name="Picture 8">
          <a:extLst>
            <a:ext uri="{FF2B5EF4-FFF2-40B4-BE49-F238E27FC236}">
              <a16:creationId xmlns:a16="http://schemas.microsoft.com/office/drawing/2014/main" id="{90DC085F-F04B-4545-90F2-BFAC9BFA9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670" y="1098740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9</xdr:col>
      <xdr:colOff>590550</xdr:colOff>
      <xdr:row>1</xdr:row>
      <xdr:rowOff>161925</xdr:rowOff>
    </xdr:from>
    <xdr:to>
      <xdr:col>17</xdr:col>
      <xdr:colOff>0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E1B6CE-DC11-E4E1-E241-57639E5F5491}"/>
            </a:ext>
            <a:ext uri="{147F2762-F138-4A5C-976F-8EAC2B608ADB}">
              <a16:predDERef xmlns:a16="http://schemas.microsoft.com/office/drawing/2014/main" pred="{90DC085F-F04B-4545-90F2-BFAC9BFA9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590550</xdr:colOff>
      <xdr:row>75</xdr:row>
      <xdr:rowOff>200025</xdr:rowOff>
    </xdr:from>
    <xdr:to>
      <xdr:col>17</xdr:col>
      <xdr:colOff>0</xdr:colOff>
      <xdr:row>105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66BA3A8-6DB7-41F0-830B-0FF7BE5BAF48}"/>
            </a:ext>
            <a:ext uri="{147F2762-F138-4A5C-976F-8EAC2B608ADB}">
              <a16:predDERef xmlns:a16="http://schemas.microsoft.com/office/drawing/2014/main" pred="{F93CBAC0-47F3-4C4E-B223-797365CC75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39</xdr:row>
      <xdr:rowOff>0</xdr:rowOff>
    </xdr:from>
    <xdr:to>
      <xdr:col>17</xdr:col>
      <xdr:colOff>3810</xdr:colOff>
      <xdr:row>68</xdr:row>
      <xdr:rowOff>53340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6556089-573A-47BC-AC25-2503D0736CF3}"/>
            </a:ext>
            <a:ext uri="{147F2762-F138-4A5C-976F-8EAC2B608ADB}">
              <a16:predDERef xmlns:a16="http://schemas.microsoft.com/office/drawing/2014/main" pred="{90DC085F-F04B-4545-90F2-BFAC9BFA9F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113</xdr:row>
      <xdr:rowOff>0</xdr:rowOff>
    </xdr:from>
    <xdr:to>
      <xdr:col>17</xdr:col>
      <xdr:colOff>3810</xdr:colOff>
      <xdr:row>142</xdr:row>
      <xdr:rowOff>114300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9C1902A-87A9-470F-8DB6-08CA59E661CC}"/>
            </a:ext>
            <a:ext uri="{147F2762-F138-4A5C-976F-8EAC2B608ADB}">
              <a16:predDERef xmlns:a16="http://schemas.microsoft.com/office/drawing/2014/main" pred="{F93CBAC0-47F3-4C4E-B223-797365CC75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198755</xdr:colOff>
      <xdr:row>0</xdr:row>
      <xdr:rowOff>40005</xdr:rowOff>
    </xdr:from>
    <xdr:ext cx="1571625" cy="662733"/>
    <xdr:pic>
      <xdr:nvPicPr>
        <xdr:cNvPr id="2" name="Picture 1">
          <a:extLst>
            <a:ext uri="{FF2B5EF4-FFF2-40B4-BE49-F238E27FC236}">
              <a16:creationId xmlns:a16="http://schemas.microsoft.com/office/drawing/2014/main" id="{2FB64B49-65EA-40B6-AF61-892D052E9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" y="4000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191770</xdr:colOff>
      <xdr:row>37</xdr:row>
      <xdr:rowOff>36830</xdr:rowOff>
    </xdr:from>
    <xdr:ext cx="1571625" cy="662733"/>
    <xdr:pic>
      <xdr:nvPicPr>
        <xdr:cNvPr id="7" name="Picture 6">
          <a:extLst>
            <a:ext uri="{FF2B5EF4-FFF2-40B4-BE49-F238E27FC236}">
              <a16:creationId xmlns:a16="http://schemas.microsoft.com/office/drawing/2014/main" id="{5254DF82-C63D-440E-9398-29AACF2E9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770" y="357378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188595</xdr:colOff>
      <xdr:row>74</xdr:row>
      <xdr:rowOff>8255</xdr:rowOff>
    </xdr:from>
    <xdr:ext cx="1571625" cy="662733"/>
    <xdr:pic>
      <xdr:nvPicPr>
        <xdr:cNvPr id="8" name="Picture 7">
          <a:extLst>
            <a:ext uri="{FF2B5EF4-FFF2-40B4-BE49-F238E27FC236}">
              <a16:creationId xmlns:a16="http://schemas.microsoft.com/office/drawing/2014/main" id="{A9E3AF38-BF22-4172-A81A-2AFD166BC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595" y="725995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182245</xdr:colOff>
      <xdr:row>111</xdr:row>
      <xdr:rowOff>20955</xdr:rowOff>
    </xdr:from>
    <xdr:ext cx="1571625" cy="662733"/>
    <xdr:pic>
      <xdr:nvPicPr>
        <xdr:cNvPr id="9" name="Picture 8">
          <a:extLst>
            <a:ext uri="{FF2B5EF4-FFF2-40B4-BE49-F238E27FC236}">
              <a16:creationId xmlns:a16="http://schemas.microsoft.com/office/drawing/2014/main" id="{3E3EBD23-0484-48BD-9E25-5D60AEE0E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245" y="1118425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9</xdr:col>
      <xdr:colOff>544830</xdr:colOff>
      <xdr:row>1</xdr:row>
      <xdr:rowOff>142875</xdr:rowOff>
    </xdr:from>
    <xdr:to>
      <xdr:col>18</xdr:col>
      <xdr:colOff>0</xdr:colOff>
      <xdr:row>31</xdr:row>
      <xdr:rowOff>53340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60C0C70-E164-6DE7-4CF1-0F9B02ED694A}"/>
            </a:ext>
            <a:ext uri="{147F2762-F138-4A5C-976F-8EAC2B608ADB}">
              <a16:predDERef xmlns:a16="http://schemas.microsoft.com/office/drawing/2014/main" pred="{3E3EBD23-0484-48BD-9E25-5D60AEE0E2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581025</xdr:colOff>
      <xdr:row>111</xdr:row>
      <xdr:rowOff>161925</xdr:rowOff>
    </xdr:from>
    <xdr:to>
      <xdr:col>17</xdr:col>
      <xdr:colOff>590550</xdr:colOff>
      <xdr:row>142</xdr:row>
      <xdr:rowOff>171450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8D2E78D-E365-4031-8A21-DB11F05281FA}"/>
            </a:ext>
            <a:ext uri="{147F2762-F138-4A5C-976F-8EAC2B608ADB}">
              <a16:predDERef xmlns:a16="http://schemas.microsoft.com/office/drawing/2014/main" pred="{4FB1A187-16BE-4ED2-8C46-0AE3993C5D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38</xdr:row>
      <xdr:rowOff>0</xdr:rowOff>
    </xdr:from>
    <xdr:to>
      <xdr:col>18</xdr:col>
      <xdr:colOff>3810</xdr:colOff>
      <xdr:row>50</xdr:row>
      <xdr:rowOff>100965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4F8726D-B6D5-4ED9-A121-7D72517C8BC0}"/>
            </a:ext>
            <a:ext uri="{147F2762-F138-4A5C-976F-8EAC2B608ADB}">
              <a16:predDERef xmlns:a16="http://schemas.microsoft.com/office/drawing/2014/main" pred="{3E3EBD23-0484-48BD-9E25-5D60AEE0E2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75</xdr:row>
      <xdr:rowOff>0</xdr:rowOff>
    </xdr:from>
    <xdr:to>
      <xdr:col>18</xdr:col>
      <xdr:colOff>3810</xdr:colOff>
      <xdr:row>87</xdr:row>
      <xdr:rowOff>85725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B037833C-0BFA-4F29-A335-840B6AF2DAB5}"/>
            </a:ext>
            <a:ext uri="{147F2762-F138-4A5C-976F-8EAC2B608ADB}">
              <a16:predDERef xmlns:a16="http://schemas.microsoft.com/office/drawing/2014/main" pred="{3E3EBD23-0484-48BD-9E25-5D60AEE0E2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179070</xdr:colOff>
      <xdr:row>0</xdr:row>
      <xdr:rowOff>20320</xdr:rowOff>
    </xdr:from>
    <xdr:ext cx="1571625" cy="662733"/>
    <xdr:pic>
      <xdr:nvPicPr>
        <xdr:cNvPr id="6" name="Picture 5">
          <a:extLst>
            <a:ext uri="{FF2B5EF4-FFF2-40B4-BE49-F238E27FC236}">
              <a16:creationId xmlns:a16="http://schemas.microsoft.com/office/drawing/2014/main" id="{521CCB0A-9833-4701-BA46-E6E228666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070" y="2032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140970</xdr:colOff>
      <xdr:row>37</xdr:row>
      <xdr:rowOff>72390</xdr:rowOff>
    </xdr:from>
    <xdr:ext cx="1571625" cy="662733"/>
    <xdr:pic>
      <xdr:nvPicPr>
        <xdr:cNvPr id="7" name="Picture 6">
          <a:extLst>
            <a:ext uri="{FF2B5EF4-FFF2-40B4-BE49-F238E27FC236}">
              <a16:creationId xmlns:a16="http://schemas.microsoft.com/office/drawing/2014/main" id="{CED77742-14D9-4765-A91D-D2ACC6883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970" y="356489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207645</xdr:colOff>
      <xdr:row>74</xdr:row>
      <xdr:rowOff>17780</xdr:rowOff>
    </xdr:from>
    <xdr:ext cx="1571625" cy="662733"/>
    <xdr:pic>
      <xdr:nvPicPr>
        <xdr:cNvPr id="8" name="Picture 7">
          <a:extLst>
            <a:ext uri="{FF2B5EF4-FFF2-40B4-BE49-F238E27FC236}">
              <a16:creationId xmlns:a16="http://schemas.microsoft.com/office/drawing/2014/main" id="{5A876860-66E6-4B20-BEB2-0D479D03B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645" y="720598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169545</xdr:colOff>
      <xdr:row>111</xdr:row>
      <xdr:rowOff>68580</xdr:rowOff>
    </xdr:from>
    <xdr:ext cx="1571625" cy="662733"/>
    <xdr:pic>
      <xdr:nvPicPr>
        <xdr:cNvPr id="2" name="Picture 8">
          <a:extLst>
            <a:ext uri="{FF2B5EF4-FFF2-40B4-BE49-F238E27FC236}">
              <a16:creationId xmlns:a16="http://schemas.microsoft.com/office/drawing/2014/main" id="{F696A6AE-4864-403C-8F09-D9B97BC5F2DF}"/>
            </a:ext>
            <a:ext uri="{147F2762-F138-4A5C-976F-8EAC2B608ADB}">
              <a16:predDERef xmlns:a16="http://schemas.microsoft.com/office/drawing/2014/main" pred="{5A876860-66E6-4B20-BEB2-0D479D03B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" y="1153668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9</xdr:col>
      <xdr:colOff>590550</xdr:colOff>
      <xdr:row>1</xdr:row>
      <xdr:rowOff>161925</xdr:rowOff>
    </xdr:from>
    <xdr:to>
      <xdr:col>17</xdr:col>
      <xdr:colOff>590550</xdr:colOff>
      <xdr:row>31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0B249D7-E18D-51FA-5B6C-9F94258E3D6F}"/>
            </a:ext>
            <a:ext uri="{147F2762-F138-4A5C-976F-8EAC2B608ADB}">
              <a16:predDERef xmlns:a16="http://schemas.microsoft.com/office/drawing/2014/main" pred="{F696A6AE-4864-403C-8F09-D9B97BC5F2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38</xdr:row>
      <xdr:rowOff>133350</xdr:rowOff>
    </xdr:from>
    <xdr:to>
      <xdr:col>18</xdr:col>
      <xdr:colOff>0</xdr:colOff>
      <xdr:row>49</xdr:row>
      <xdr:rowOff>171450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89C872A-A969-4C2E-AA99-9BAD80DB5D66}"/>
            </a:ext>
            <a:ext uri="{147F2762-F138-4A5C-976F-8EAC2B608ADB}">
              <a16:predDERef xmlns:a16="http://schemas.microsoft.com/office/drawing/2014/main" pred="{E0B249D7-E18D-51FA-5B6C-9F94258E3D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581025</xdr:colOff>
      <xdr:row>75</xdr:row>
      <xdr:rowOff>161925</xdr:rowOff>
    </xdr:from>
    <xdr:to>
      <xdr:col>17</xdr:col>
      <xdr:colOff>581025</xdr:colOff>
      <xdr:row>105</xdr:row>
      <xdr:rowOff>19050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DA2E57D-CAA8-4CF4-903A-555CCFDA7092}"/>
            </a:ext>
            <a:ext uri="{147F2762-F138-4A5C-976F-8EAC2B608ADB}">
              <a16:predDERef xmlns:a16="http://schemas.microsoft.com/office/drawing/2014/main" pred="{289C872A-A969-4C2E-AA99-9BAD80DB5D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113</xdr:row>
      <xdr:rowOff>0</xdr:rowOff>
    </xdr:from>
    <xdr:to>
      <xdr:col>18</xdr:col>
      <xdr:colOff>0</xdr:colOff>
      <xdr:row>142</xdr:row>
      <xdr:rowOff>66675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F3BA693-0B40-4B23-BC49-8AA5648DCD42}"/>
            </a:ext>
            <a:ext uri="{147F2762-F138-4A5C-976F-8EAC2B608ADB}">
              <a16:predDERef xmlns:a16="http://schemas.microsoft.com/office/drawing/2014/main" pred="{1DA2E57D-CAA8-4CF4-903A-555CCFDA70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204470</xdr:colOff>
      <xdr:row>0</xdr:row>
      <xdr:rowOff>22225</xdr:rowOff>
    </xdr:from>
    <xdr:ext cx="1571625" cy="662733"/>
    <xdr:pic>
      <xdr:nvPicPr>
        <xdr:cNvPr id="6" name="Picture 5">
          <a:extLst>
            <a:ext uri="{FF2B5EF4-FFF2-40B4-BE49-F238E27FC236}">
              <a16:creationId xmlns:a16="http://schemas.microsoft.com/office/drawing/2014/main" id="{BE4271AF-E7A7-46A7-9F33-52594E115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2222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175895</xdr:colOff>
      <xdr:row>37</xdr:row>
      <xdr:rowOff>43180</xdr:rowOff>
    </xdr:from>
    <xdr:ext cx="1571625" cy="662733"/>
    <xdr:pic>
      <xdr:nvPicPr>
        <xdr:cNvPr id="7" name="Picture 6">
          <a:extLst>
            <a:ext uri="{FF2B5EF4-FFF2-40B4-BE49-F238E27FC236}">
              <a16:creationId xmlns:a16="http://schemas.microsoft.com/office/drawing/2014/main" id="{C8219050-C464-4CB1-A20E-10C078090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" y="353568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220345</xdr:colOff>
      <xdr:row>74</xdr:row>
      <xdr:rowOff>36830</xdr:rowOff>
    </xdr:from>
    <xdr:ext cx="1571625" cy="662733"/>
    <xdr:pic>
      <xdr:nvPicPr>
        <xdr:cNvPr id="8" name="Picture 7">
          <a:extLst>
            <a:ext uri="{FF2B5EF4-FFF2-40B4-BE49-F238E27FC236}">
              <a16:creationId xmlns:a16="http://schemas.microsoft.com/office/drawing/2014/main" id="{A0BF8C78-E1D8-400E-A867-5BB8EC145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345" y="723138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207645</xdr:colOff>
      <xdr:row>111</xdr:row>
      <xdr:rowOff>43180</xdr:rowOff>
    </xdr:from>
    <xdr:ext cx="1571625" cy="662733"/>
    <xdr:pic>
      <xdr:nvPicPr>
        <xdr:cNvPr id="9" name="Picture 8">
          <a:extLst>
            <a:ext uri="{FF2B5EF4-FFF2-40B4-BE49-F238E27FC236}">
              <a16:creationId xmlns:a16="http://schemas.microsoft.com/office/drawing/2014/main" id="{6383B923-69B7-43D8-A130-EFF7A7212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645" y="1114933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9</xdr:col>
      <xdr:colOff>590550</xdr:colOff>
      <xdr:row>1</xdr:row>
      <xdr:rowOff>161925</xdr:rowOff>
    </xdr:from>
    <xdr:to>
      <xdr:col>17</xdr:col>
      <xdr:colOff>9525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5E0D24-AA54-B36B-88EC-672A56FEA73D}"/>
            </a:ext>
            <a:ext uri="{147F2762-F138-4A5C-976F-8EAC2B608ADB}">
              <a16:predDERef xmlns:a16="http://schemas.microsoft.com/office/drawing/2014/main" pred="{6383B923-69B7-43D8-A130-EFF7A7212D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552450</xdr:colOff>
      <xdr:row>38</xdr:row>
      <xdr:rowOff>219075</xdr:rowOff>
    </xdr:from>
    <xdr:to>
      <xdr:col>16</xdr:col>
      <xdr:colOff>571500</xdr:colOff>
      <xdr:row>68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8B1B314-554F-41E2-A43C-BBC536328F07}"/>
            </a:ext>
            <a:ext uri="{147F2762-F138-4A5C-976F-8EAC2B608ADB}">
              <a16:predDERef xmlns:a16="http://schemas.microsoft.com/office/drawing/2014/main" pred="{A05E0D24-AA54-B36B-88EC-672A56FEA7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76</xdr:row>
      <xdr:rowOff>0</xdr:rowOff>
    </xdr:from>
    <xdr:to>
      <xdr:col>17</xdr:col>
      <xdr:colOff>19050</xdr:colOff>
      <xdr:row>105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3552A87-0A8F-450F-9C40-08EC90B6458B}"/>
            </a:ext>
            <a:ext uri="{147F2762-F138-4A5C-976F-8EAC2B608ADB}">
              <a16:predDERef xmlns:a16="http://schemas.microsoft.com/office/drawing/2014/main" pred="{98B1B314-554F-41E2-A43C-BBC536328F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113</xdr:row>
      <xdr:rowOff>0</xdr:rowOff>
    </xdr:from>
    <xdr:to>
      <xdr:col>17</xdr:col>
      <xdr:colOff>19050</xdr:colOff>
      <xdr:row>142</xdr:row>
      <xdr:rowOff>43815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50682CD-0CA0-4A29-988D-83454C2CE49E}"/>
            </a:ext>
            <a:ext uri="{147F2762-F138-4A5C-976F-8EAC2B608ADB}">
              <a16:predDERef xmlns:a16="http://schemas.microsoft.com/office/drawing/2014/main" pred="{98B1B314-554F-41E2-A43C-BBC536328F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177800</xdr:colOff>
      <xdr:row>0</xdr:row>
      <xdr:rowOff>33655</xdr:rowOff>
    </xdr:from>
    <xdr:ext cx="1571625" cy="662733"/>
    <xdr:pic>
      <xdr:nvPicPr>
        <xdr:cNvPr id="2" name="Picture 5">
          <a:extLst>
            <a:ext uri="{FF2B5EF4-FFF2-40B4-BE49-F238E27FC236}">
              <a16:creationId xmlns:a16="http://schemas.microsoft.com/office/drawing/2014/main" id="{97E0CEE8-4F69-4F8F-9BD2-A22E91782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3365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204470</xdr:colOff>
      <xdr:row>37</xdr:row>
      <xdr:rowOff>90805</xdr:rowOff>
    </xdr:from>
    <xdr:ext cx="1571625" cy="662733"/>
    <xdr:pic>
      <xdr:nvPicPr>
        <xdr:cNvPr id="7" name="Picture 6">
          <a:extLst>
            <a:ext uri="{FF2B5EF4-FFF2-40B4-BE49-F238E27FC236}">
              <a16:creationId xmlns:a16="http://schemas.microsoft.com/office/drawing/2014/main" id="{C1858710-E4E3-4F9F-90BF-D6E83F8AA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357060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261620</xdr:colOff>
      <xdr:row>74</xdr:row>
      <xdr:rowOff>78105</xdr:rowOff>
    </xdr:from>
    <xdr:ext cx="1571625" cy="662733"/>
    <xdr:pic>
      <xdr:nvPicPr>
        <xdr:cNvPr id="8" name="Picture 7">
          <a:extLst>
            <a:ext uri="{FF2B5EF4-FFF2-40B4-BE49-F238E27FC236}">
              <a16:creationId xmlns:a16="http://schemas.microsoft.com/office/drawing/2014/main" id="{793D2B1A-6A15-4D48-95E3-46A0959BC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747585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217170</xdr:colOff>
      <xdr:row>111</xdr:row>
      <xdr:rowOff>90805</xdr:rowOff>
    </xdr:from>
    <xdr:ext cx="1571625" cy="662733"/>
    <xdr:pic>
      <xdr:nvPicPr>
        <xdr:cNvPr id="9" name="Picture 8">
          <a:extLst>
            <a:ext uri="{FF2B5EF4-FFF2-40B4-BE49-F238E27FC236}">
              <a16:creationId xmlns:a16="http://schemas.microsoft.com/office/drawing/2014/main" id="{5118568A-FB78-431B-BA92-A11535036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170" y="1103820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10</xdr:col>
      <xdr:colOff>9525</xdr:colOff>
      <xdr:row>1</xdr:row>
      <xdr:rowOff>133350</xdr:rowOff>
    </xdr:from>
    <xdr:to>
      <xdr:col>17</xdr:col>
      <xdr:colOff>0</xdr:colOff>
      <xdr:row>12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8CA478F-5927-BE99-258B-A03F8752882D}"/>
            </a:ext>
            <a:ext uri="{147F2762-F138-4A5C-976F-8EAC2B608ADB}">
              <a16:predDERef xmlns:a16="http://schemas.microsoft.com/office/drawing/2014/main" pred="{5118568A-FB78-431B-BA92-A11535036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39</xdr:row>
      <xdr:rowOff>0</xdr:rowOff>
    </xdr:from>
    <xdr:to>
      <xdr:col>16</xdr:col>
      <xdr:colOff>590550</xdr:colOff>
      <xdr:row>68</xdr:row>
      <xdr:rowOff>19050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30B3E73-628F-4259-8F63-7CFAEBC98E2C}"/>
            </a:ext>
            <a:ext uri="{147F2762-F138-4A5C-976F-8EAC2B608ADB}">
              <a16:predDERef xmlns:a16="http://schemas.microsoft.com/office/drawing/2014/main" pred="{98CA478F-5927-BE99-258B-A03F875288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76</xdr:row>
      <xdr:rowOff>0</xdr:rowOff>
    </xdr:from>
    <xdr:to>
      <xdr:col>16</xdr:col>
      <xdr:colOff>590550</xdr:colOff>
      <xdr:row>105</xdr:row>
      <xdr:rowOff>19050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B4B4B76-A52F-4DD2-ACD1-226765229656}"/>
            </a:ext>
            <a:ext uri="{147F2762-F138-4A5C-976F-8EAC2B608ADB}">
              <a16:predDERef xmlns:a16="http://schemas.microsoft.com/office/drawing/2014/main" pred="{F30B3E73-628F-4259-8F63-7CFAEBC98E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537210</xdr:colOff>
      <xdr:row>112</xdr:row>
      <xdr:rowOff>222885</xdr:rowOff>
    </xdr:from>
    <xdr:to>
      <xdr:col>16</xdr:col>
      <xdr:colOff>487680</xdr:colOff>
      <xdr:row>142</xdr:row>
      <xdr:rowOff>22860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68E35B9-C84A-4A44-826E-FD2B3A5733C0}"/>
            </a:ext>
            <a:ext uri="{147F2762-F138-4A5C-976F-8EAC2B608ADB}">
              <a16:predDERef xmlns:a16="http://schemas.microsoft.com/office/drawing/2014/main" pred="{5B4B4B76-A52F-4DD2-ACD1-226765229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-95250</xdr:colOff>
      <xdr:row>1</xdr:row>
      <xdr:rowOff>57150</xdr:rowOff>
    </xdr:from>
    <xdr:to>
      <xdr:col>0</xdr:col>
      <xdr:colOff>-95250</xdr:colOff>
      <xdr:row>1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E423C5-0670-40FD-A150-05629C587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-95250" y="240030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142875</xdr:colOff>
      <xdr:row>40</xdr:row>
      <xdr:rowOff>47625</xdr:rowOff>
    </xdr:from>
    <xdr:to>
      <xdr:col>2</xdr:col>
      <xdr:colOff>1304925</xdr:colOff>
      <xdr:row>43</xdr:row>
      <xdr:rowOff>24558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995F94-E8A2-427E-A79F-0A4AB61CD6D9}"/>
            </a:ext>
            <a:ext uri="{147F2762-F138-4A5C-976F-8EAC2B608ADB}">
              <a16:predDERef xmlns:a16="http://schemas.microsoft.com/office/drawing/2014/main" pred="{65FB05F9-F6BE-4E37-9984-DD80D230A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" y="4291965"/>
          <a:ext cx="1535430" cy="5865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95250</xdr:colOff>
      <xdr:row>3</xdr:row>
      <xdr:rowOff>92075</xdr:rowOff>
    </xdr:from>
    <xdr:to>
      <xdr:col>2</xdr:col>
      <xdr:colOff>1257300</xdr:colOff>
      <xdr:row>6</xdr:row>
      <xdr:rowOff>126158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C23021B-12D2-41D0-9541-3D0D801737B5}"/>
            </a:ext>
            <a:ext uri="{147F2762-F138-4A5C-976F-8EAC2B608ADB}">
              <a16:predDERef xmlns:a16="http://schemas.microsoft.com/office/drawing/2014/main" pred="{A6FC7E92-D77F-4A98-84C1-961417581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" y="640715"/>
          <a:ext cx="1535430" cy="6055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152400</xdr:colOff>
      <xdr:row>77</xdr:row>
      <xdr:rowOff>114300</xdr:rowOff>
    </xdr:from>
    <xdr:to>
      <xdr:col>2</xdr:col>
      <xdr:colOff>1314450</xdr:colOff>
      <xdr:row>80</xdr:row>
      <xdr:rowOff>91233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7BFE269-157C-40FE-AFB1-4361E080CBA3}"/>
            </a:ext>
            <a:ext uri="{147F2762-F138-4A5C-976F-8EAC2B608ADB}">
              <a16:predDERef xmlns:a16="http://schemas.microsoft.com/office/drawing/2014/main" pred="{13B178B2-64AD-419A-8C9E-F23C6D410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8092440"/>
          <a:ext cx="1535430" cy="5865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171450</xdr:colOff>
      <xdr:row>114</xdr:row>
      <xdr:rowOff>107950</xdr:rowOff>
    </xdr:from>
    <xdr:to>
      <xdr:col>2</xdr:col>
      <xdr:colOff>1333500</xdr:colOff>
      <xdr:row>117</xdr:row>
      <xdr:rowOff>84883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80AD7A8-72B4-479E-AF43-FC4AD9B44224}"/>
            </a:ext>
            <a:ext uri="{147F2762-F138-4A5C-976F-8EAC2B608ADB}">
              <a16:predDERef xmlns:a16="http://schemas.microsoft.com/office/drawing/2014/main" pred="{A9146D5F-5A60-400C-A6DF-AEDD357A7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11819890"/>
          <a:ext cx="1535430" cy="5865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171450</xdr:colOff>
      <xdr:row>153</xdr:row>
      <xdr:rowOff>114300</xdr:rowOff>
    </xdr:from>
    <xdr:to>
      <xdr:col>2</xdr:col>
      <xdr:colOff>1333500</xdr:colOff>
      <xdr:row>156</xdr:row>
      <xdr:rowOff>148383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BCE06E4-0736-40FF-94F7-1156ACF0A905}"/>
            </a:ext>
            <a:ext uri="{147F2762-F138-4A5C-976F-8EAC2B608ADB}">
              <a16:predDERef xmlns:a16="http://schemas.microsoft.com/office/drawing/2014/main" pred="{A1EB8076-C4A8-4A95-B9DF-331496768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15925800"/>
          <a:ext cx="1535430" cy="6055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142875</xdr:colOff>
      <xdr:row>190</xdr:row>
      <xdr:rowOff>104775</xdr:rowOff>
    </xdr:from>
    <xdr:to>
      <xdr:col>2</xdr:col>
      <xdr:colOff>1304925</xdr:colOff>
      <xdr:row>193</xdr:row>
      <xdr:rowOff>81708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3D5F614-BF53-4BA7-99DD-045ADF40DADB}"/>
            </a:ext>
            <a:ext uri="{147F2762-F138-4A5C-976F-8EAC2B608ADB}">
              <a16:predDERef xmlns:a16="http://schemas.microsoft.com/office/drawing/2014/main" pred="{A7998933-7555-47E3-87FA-CA1C4A9AF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" y="19611975"/>
          <a:ext cx="1535430" cy="5865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161925</xdr:colOff>
      <xdr:row>227</xdr:row>
      <xdr:rowOff>114300</xdr:rowOff>
    </xdr:from>
    <xdr:to>
      <xdr:col>2</xdr:col>
      <xdr:colOff>1323975</xdr:colOff>
      <xdr:row>230</xdr:row>
      <xdr:rowOff>91233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43230F8-3835-40CC-BB87-E91648144AAB}"/>
            </a:ext>
            <a:ext uri="{147F2762-F138-4A5C-976F-8EAC2B608ADB}">
              <a16:predDERef xmlns:a16="http://schemas.microsoft.com/office/drawing/2014/main" pred="{7746E51D-FECF-4030-96C2-1B9EBE3F1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" y="23355300"/>
          <a:ext cx="1535430" cy="5865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142875</xdr:colOff>
      <xdr:row>263</xdr:row>
      <xdr:rowOff>142875</xdr:rowOff>
    </xdr:from>
    <xdr:to>
      <xdr:col>2</xdr:col>
      <xdr:colOff>1304925</xdr:colOff>
      <xdr:row>266</xdr:row>
      <xdr:rowOff>148383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19772EB-CA76-48F7-94CE-61B8EACCC600}"/>
            </a:ext>
            <a:ext uri="{147F2762-F138-4A5C-976F-8EAC2B608ADB}">
              <a16:predDERef xmlns:a16="http://schemas.microsoft.com/office/drawing/2014/main" pred="{57DD17B9-56F6-49A3-A953-CB12B0BBC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" y="26934795"/>
          <a:ext cx="1535430" cy="5998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161925</xdr:colOff>
      <xdr:row>303</xdr:row>
      <xdr:rowOff>79375</xdr:rowOff>
    </xdr:from>
    <xdr:to>
      <xdr:col>2</xdr:col>
      <xdr:colOff>1323975</xdr:colOff>
      <xdr:row>306</xdr:row>
      <xdr:rowOff>113458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F3A5D01-36C6-4139-9F0A-1979A447CE9B}"/>
            </a:ext>
            <a:ext uri="{147F2762-F138-4A5C-976F-8EAC2B608ADB}">
              <a16:predDERef xmlns:a16="http://schemas.microsoft.com/office/drawing/2014/main" pred="{83F21157-9D0D-406A-9502-68964F419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" y="31153735"/>
          <a:ext cx="1535430" cy="6055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180975</xdr:colOff>
      <xdr:row>340</xdr:row>
      <xdr:rowOff>114300</xdr:rowOff>
    </xdr:from>
    <xdr:to>
      <xdr:col>2</xdr:col>
      <xdr:colOff>1343025</xdr:colOff>
      <xdr:row>343</xdr:row>
      <xdr:rowOff>91233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45CF65D-FA24-4BAE-9379-EF01F88E4E3A}"/>
            </a:ext>
            <a:ext uri="{147F2762-F138-4A5C-976F-8EAC2B608ADB}">
              <a16:predDERef xmlns:a16="http://schemas.microsoft.com/office/drawing/2014/main" pred="{917896D5-0798-46F7-9ED2-1A74B23DF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" y="34884360"/>
          <a:ext cx="1535430" cy="5865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200025</xdr:colOff>
      <xdr:row>377</xdr:row>
      <xdr:rowOff>95250</xdr:rowOff>
    </xdr:from>
    <xdr:to>
      <xdr:col>2</xdr:col>
      <xdr:colOff>1362075</xdr:colOff>
      <xdr:row>380</xdr:row>
      <xdr:rowOff>72183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5B17988-C549-4F34-B3B9-7A63C20FF1F4}"/>
            </a:ext>
            <a:ext uri="{147F2762-F138-4A5C-976F-8EAC2B608ADB}">
              <a16:predDERef xmlns:a16="http://schemas.microsoft.com/office/drawing/2014/main" pred="{21B228D0-AC62-4ED6-839E-DC60D2D45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" y="38599110"/>
          <a:ext cx="1535430" cy="5865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95250</xdr:colOff>
      <xdr:row>414</xdr:row>
      <xdr:rowOff>114300</xdr:rowOff>
    </xdr:from>
    <xdr:to>
      <xdr:col>2</xdr:col>
      <xdr:colOff>1257300</xdr:colOff>
      <xdr:row>417</xdr:row>
      <xdr:rowOff>91233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28B927E-3ACE-45A7-B3D8-2295F75ED976}"/>
            </a:ext>
            <a:ext uri="{147F2762-F138-4A5C-976F-8EAC2B608ADB}">
              <a16:predDERef xmlns:a16="http://schemas.microsoft.com/office/drawing/2014/main" pred="{63B2DFAC-E050-45C3-AD7C-4A92B661F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" y="42351960"/>
          <a:ext cx="1535430" cy="5865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123825</xdr:colOff>
      <xdr:row>454</xdr:row>
      <xdr:rowOff>76200</xdr:rowOff>
    </xdr:from>
    <xdr:to>
      <xdr:col>2</xdr:col>
      <xdr:colOff>1285875</xdr:colOff>
      <xdr:row>457</xdr:row>
      <xdr:rowOff>110283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0F9FE89-64FA-4AB2-82C9-32DA233CC476}"/>
            </a:ext>
            <a:ext uri="{147F2762-F138-4A5C-976F-8EAC2B608ADB}">
              <a16:predDERef xmlns:a16="http://schemas.microsoft.com/office/drawing/2014/main" pred="{21D4948E-D17A-46B6-84FE-C8EBB5E81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" y="46596300"/>
          <a:ext cx="1535430" cy="6055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104775</xdr:colOff>
      <xdr:row>491</xdr:row>
      <xdr:rowOff>85725</xdr:rowOff>
    </xdr:from>
    <xdr:to>
      <xdr:col>2</xdr:col>
      <xdr:colOff>1266825</xdr:colOff>
      <xdr:row>494</xdr:row>
      <xdr:rowOff>62658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17E3D807-A3C6-46DE-879B-5DC43AAB52A5}"/>
            </a:ext>
            <a:ext uri="{147F2762-F138-4A5C-976F-8EAC2B608ADB}">
              <a16:predDERef xmlns:a16="http://schemas.microsoft.com/office/drawing/2014/main" pred="{84ED0D62-FC77-4D8C-B05D-CC506D8F4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" y="50301525"/>
          <a:ext cx="1535430" cy="5865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152400</xdr:colOff>
      <xdr:row>528</xdr:row>
      <xdr:rowOff>47625</xdr:rowOff>
    </xdr:from>
    <xdr:to>
      <xdr:col>2</xdr:col>
      <xdr:colOff>1314450</xdr:colOff>
      <xdr:row>531</xdr:row>
      <xdr:rowOff>24558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E67CF09D-B8EE-46F2-BAD5-0E73E2B7D130}"/>
            </a:ext>
            <a:ext uri="{147F2762-F138-4A5C-976F-8EAC2B608ADB}">
              <a16:predDERef xmlns:a16="http://schemas.microsoft.com/office/drawing/2014/main" pred="{4AB9C0D9-D416-4FE2-A4B3-2818EC08C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53997225"/>
          <a:ext cx="1535430" cy="5865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95250</xdr:colOff>
      <xdr:row>565</xdr:row>
      <xdr:rowOff>19050</xdr:rowOff>
    </xdr:from>
    <xdr:to>
      <xdr:col>2</xdr:col>
      <xdr:colOff>1257300</xdr:colOff>
      <xdr:row>567</xdr:row>
      <xdr:rowOff>197913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C9C44494-D678-491F-B9A3-B5FCE697FB86}"/>
            </a:ext>
            <a:ext uri="{147F2762-F138-4A5C-976F-8EAC2B608ADB}">
              <a16:predDERef xmlns:a16="http://schemas.microsoft.com/office/drawing/2014/main" pred="{F3631BAC-7F01-4243-9E13-9C7BAAAB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" y="57702450"/>
          <a:ext cx="1535430" cy="5903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85725</xdr:colOff>
      <xdr:row>605</xdr:row>
      <xdr:rowOff>114300</xdr:rowOff>
    </xdr:from>
    <xdr:to>
      <xdr:col>2</xdr:col>
      <xdr:colOff>1247775</xdr:colOff>
      <xdr:row>608</xdr:row>
      <xdr:rowOff>148383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601EC87D-F1FB-4C8C-8DC7-4C7BD026C2C8}"/>
            </a:ext>
            <a:ext uri="{147F2762-F138-4A5C-976F-8EAC2B608ADB}">
              <a16:predDERef xmlns:a16="http://schemas.microsoft.com/office/drawing/2014/main" pred="{5E4C81F4-DEBF-4F4A-9086-74CB33935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" y="62080140"/>
          <a:ext cx="1535430" cy="6055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104775</xdr:colOff>
      <xdr:row>642</xdr:row>
      <xdr:rowOff>28575</xdr:rowOff>
    </xdr:from>
    <xdr:to>
      <xdr:col>2</xdr:col>
      <xdr:colOff>1266825</xdr:colOff>
      <xdr:row>645</xdr:row>
      <xdr:rowOff>5508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34AE3110-B8DC-41AD-B695-6A6F4E8D83A8}"/>
            </a:ext>
            <a:ext uri="{147F2762-F138-4A5C-976F-8EAC2B608ADB}">
              <a16:predDERef xmlns:a16="http://schemas.microsoft.com/office/drawing/2014/main" pred="{379387FA-8EEB-42F4-84B0-763DF84D9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" y="65690115"/>
          <a:ext cx="1535430" cy="5865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114300</xdr:colOff>
      <xdr:row>679</xdr:row>
      <xdr:rowOff>104775</xdr:rowOff>
    </xdr:from>
    <xdr:to>
      <xdr:col>2</xdr:col>
      <xdr:colOff>1276350</xdr:colOff>
      <xdr:row>682</xdr:row>
      <xdr:rowOff>81708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F6C05D2A-3144-4F0B-BB97-D06F4ED3BFBF}"/>
            </a:ext>
            <a:ext uri="{147F2762-F138-4A5C-976F-8EAC2B608ADB}">
              <a16:predDERef xmlns:a16="http://schemas.microsoft.com/office/drawing/2014/main" pred="{F9F6A28B-5FEA-49AA-B17A-A6324E453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69500115"/>
          <a:ext cx="1535430" cy="5865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114300</xdr:colOff>
      <xdr:row>716</xdr:row>
      <xdr:rowOff>66675</xdr:rowOff>
    </xdr:from>
    <xdr:to>
      <xdr:col>2</xdr:col>
      <xdr:colOff>1276350</xdr:colOff>
      <xdr:row>719</xdr:row>
      <xdr:rowOff>43608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C17F0B5D-1CCC-4478-AE5A-80463F841E8B}"/>
            </a:ext>
            <a:ext uri="{147F2762-F138-4A5C-976F-8EAC2B608ADB}">
              <a16:predDERef xmlns:a16="http://schemas.microsoft.com/office/drawing/2014/main" pred="{DA0D1238-54E4-45B0-B950-19026F213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73180575"/>
          <a:ext cx="1535430" cy="5865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18C08-89A6-4222-986E-F7583D510FCD}">
  <dimension ref="A2:A6"/>
  <sheetViews>
    <sheetView workbookViewId="0">
      <selection activeCell="F11" sqref="F11"/>
    </sheetView>
  </sheetViews>
  <sheetFormatPr defaultRowHeight="14" x14ac:dyDescent="0.3"/>
  <sheetData>
    <row r="2" spans="1:1" ht="14.5" x14ac:dyDescent="0.35">
      <c r="A2" s="2" t="s">
        <v>0</v>
      </c>
    </row>
    <row r="3" spans="1:1" ht="14.5" x14ac:dyDescent="0.35">
      <c r="A3" s="2" t="s">
        <v>1</v>
      </c>
    </row>
    <row r="4" spans="1:1" ht="14.5" x14ac:dyDescent="0.35">
      <c r="A4" s="2" t="s">
        <v>2</v>
      </c>
    </row>
    <row r="5" spans="1:1" ht="14.5" x14ac:dyDescent="0.35">
      <c r="A5" s="2" t="s">
        <v>3</v>
      </c>
    </row>
    <row r="6" spans="1:1" ht="14.5" x14ac:dyDescent="0.35">
      <c r="A6" s="2" t="s">
        <v>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A22EB-5729-4A99-A23B-9AA20B04D5BA}">
  <dimension ref="A1:O752"/>
  <sheetViews>
    <sheetView workbookViewId="0">
      <selection activeCell="J39" sqref="J39"/>
    </sheetView>
  </sheetViews>
  <sheetFormatPr defaultRowHeight="14" x14ac:dyDescent="0.3"/>
  <cols>
    <col min="1" max="1" width="2.59765625" customWidth="1"/>
    <col min="2" max="2" width="6.09765625" customWidth="1"/>
    <col min="3" max="3" width="24" style="49" customWidth="1"/>
    <col min="4" max="4" width="18.59765625" style="90" customWidth="1"/>
    <col min="5" max="5" width="13" style="90" customWidth="1"/>
    <col min="6" max="6" width="15.09765625" style="90" customWidth="1"/>
    <col min="7" max="7" width="14.59765625" style="90" customWidth="1"/>
    <col min="8" max="8" width="22.3984375" style="103" customWidth="1"/>
    <col min="9" max="9" width="11.3984375" customWidth="1"/>
  </cols>
  <sheetData>
    <row r="1" spans="1:9" ht="14.5" x14ac:dyDescent="0.35">
      <c r="A1" s="3"/>
      <c r="B1" s="44" t="s">
        <v>61</v>
      </c>
      <c r="C1" s="45"/>
      <c r="D1" s="78"/>
      <c r="E1" s="78"/>
      <c r="F1" s="78"/>
      <c r="G1" s="78"/>
      <c r="H1" s="99"/>
      <c r="I1" s="3"/>
    </row>
    <row r="2" spans="1:9" ht="14.5" x14ac:dyDescent="0.35">
      <c r="A2" s="3"/>
      <c r="B2" s="44" t="s">
        <v>62</v>
      </c>
      <c r="C2" s="45"/>
      <c r="D2" s="78"/>
      <c r="E2" s="78" t="s">
        <v>63</v>
      </c>
      <c r="F2" s="78" t="s">
        <v>63</v>
      </c>
      <c r="G2" s="78" t="s">
        <v>63</v>
      </c>
      <c r="H2" s="99" t="s">
        <v>63</v>
      </c>
      <c r="I2" s="3"/>
    </row>
    <row r="3" spans="1:9" ht="14.5" x14ac:dyDescent="0.35">
      <c r="A3" s="3"/>
      <c r="B3" s="44"/>
      <c r="C3" s="45"/>
      <c r="D3" s="78"/>
      <c r="E3" s="78"/>
      <c r="F3" s="78"/>
      <c r="G3" s="78"/>
      <c r="H3" s="99"/>
      <c r="I3" s="3"/>
    </row>
    <row r="4" spans="1:9" ht="14.5" x14ac:dyDescent="0.35">
      <c r="A4" s="3"/>
      <c r="B4" s="3"/>
      <c r="C4" s="46"/>
      <c r="D4" s="79"/>
      <c r="E4" s="79"/>
      <c r="F4" s="79"/>
      <c r="G4" s="79"/>
      <c r="H4" s="42"/>
      <c r="I4" s="3"/>
    </row>
    <row r="5" spans="1:9" ht="14.5" x14ac:dyDescent="0.35">
      <c r="A5" s="3"/>
      <c r="B5" s="3"/>
      <c r="C5" s="46"/>
      <c r="D5" s="79"/>
      <c r="E5" s="79"/>
      <c r="F5" s="79"/>
      <c r="G5" s="79"/>
      <c r="H5" s="42"/>
      <c r="I5" s="3"/>
    </row>
    <row r="6" spans="1:9" ht="16.5" customHeight="1" x14ac:dyDescent="0.45">
      <c r="A6" s="35"/>
      <c r="B6" s="36" t="s">
        <v>63</v>
      </c>
      <c r="C6" s="55" t="s">
        <v>63</v>
      </c>
      <c r="D6" s="183" t="s">
        <v>64</v>
      </c>
      <c r="E6" s="183"/>
      <c r="F6" s="183"/>
      <c r="G6" s="183"/>
      <c r="H6" s="183"/>
      <c r="I6" s="2" t="s">
        <v>0</v>
      </c>
    </row>
    <row r="7" spans="1:9" ht="15.9" customHeight="1" x14ac:dyDescent="0.4">
      <c r="A7" s="3"/>
      <c r="B7" s="124" t="s">
        <v>73</v>
      </c>
      <c r="C7" s="124"/>
      <c r="D7" s="124"/>
      <c r="E7" s="124"/>
      <c r="F7" s="124"/>
      <c r="G7" s="124"/>
      <c r="H7" s="124"/>
      <c r="I7" s="2" t="s">
        <v>1</v>
      </c>
    </row>
    <row r="8" spans="1:9" ht="14.4" customHeight="1" x14ac:dyDescent="0.35">
      <c r="A8" s="3"/>
      <c r="B8" s="15"/>
      <c r="C8" s="16"/>
      <c r="D8" s="114" t="s">
        <v>7</v>
      </c>
      <c r="E8" s="115"/>
      <c r="F8" s="115"/>
      <c r="G8" s="176"/>
      <c r="H8" s="184"/>
      <c r="I8" s="2" t="s">
        <v>2</v>
      </c>
    </row>
    <row r="9" spans="1:9" ht="14.5" x14ac:dyDescent="0.35">
      <c r="A9" s="3"/>
      <c r="B9" s="13"/>
      <c r="C9" s="14"/>
      <c r="D9" s="121" t="s">
        <v>10</v>
      </c>
      <c r="E9" s="122"/>
      <c r="F9" s="122"/>
      <c r="G9" s="178"/>
      <c r="H9" s="184"/>
      <c r="I9" s="2" t="s">
        <v>3</v>
      </c>
    </row>
    <row r="10" spans="1:9" ht="14.4" customHeight="1" x14ac:dyDescent="0.35">
      <c r="A10" s="3"/>
      <c r="B10" s="128" t="s">
        <v>11</v>
      </c>
      <c r="C10" s="185" t="s">
        <v>12</v>
      </c>
      <c r="D10" s="80" t="s">
        <v>13</v>
      </c>
      <c r="E10" s="80" t="s">
        <v>14</v>
      </c>
      <c r="F10" s="80" t="s">
        <v>15</v>
      </c>
      <c r="G10" s="81" t="s">
        <v>16</v>
      </c>
      <c r="H10" s="187"/>
      <c r="I10" s="2" t="s">
        <v>4</v>
      </c>
    </row>
    <row r="11" spans="1:9" ht="14.5" x14ac:dyDescent="0.35">
      <c r="A11" s="3"/>
      <c r="B11" s="129"/>
      <c r="C11" s="186"/>
      <c r="D11" s="141" t="s">
        <v>21</v>
      </c>
      <c r="E11" s="142"/>
      <c r="F11" s="142"/>
      <c r="G11" s="173"/>
      <c r="H11" s="187"/>
      <c r="I11" s="3"/>
    </row>
    <row r="12" spans="1:9" ht="14.5" x14ac:dyDescent="0.35">
      <c r="A12" s="3"/>
      <c r="B12" s="43">
        <v>4</v>
      </c>
      <c r="C12" s="56" t="s">
        <v>22</v>
      </c>
      <c r="D12" s="82">
        <v>238649.5</v>
      </c>
      <c r="E12" s="22">
        <v>0</v>
      </c>
      <c r="F12" s="83">
        <v>238649.5</v>
      </c>
      <c r="G12" s="84">
        <v>238649.5</v>
      </c>
      <c r="H12" s="100" t="s">
        <v>63</v>
      </c>
      <c r="I12" s="3"/>
    </row>
    <row r="13" spans="1:9" ht="14.5" x14ac:dyDescent="0.35">
      <c r="A13" s="3"/>
      <c r="B13" s="50">
        <v>5</v>
      </c>
      <c r="C13" s="57" t="s">
        <v>23</v>
      </c>
      <c r="D13" s="82">
        <v>1725098.5</v>
      </c>
      <c r="E13" s="27">
        <v>0</v>
      </c>
      <c r="F13" s="83">
        <v>1725098.5</v>
      </c>
      <c r="G13" s="84">
        <v>1963748</v>
      </c>
      <c r="H13" s="100" t="s">
        <v>63</v>
      </c>
      <c r="I13" s="42"/>
    </row>
    <row r="14" spans="1:9" ht="14.5" x14ac:dyDescent="0.35">
      <c r="A14" s="3"/>
      <c r="B14" s="50">
        <v>6</v>
      </c>
      <c r="C14" s="57" t="s">
        <v>24</v>
      </c>
      <c r="D14" s="82">
        <v>2950114.79</v>
      </c>
      <c r="E14" s="27">
        <v>0</v>
      </c>
      <c r="F14" s="83">
        <v>2950114.79</v>
      </c>
      <c r="G14" s="84">
        <v>4913862.79</v>
      </c>
      <c r="H14" s="100" t="s">
        <v>63</v>
      </c>
      <c r="I14" s="3"/>
    </row>
    <row r="15" spans="1:9" ht="14.5" x14ac:dyDescent="0.35">
      <c r="A15" s="3"/>
      <c r="B15" s="50">
        <v>7</v>
      </c>
      <c r="C15" s="57" t="s">
        <v>25</v>
      </c>
      <c r="D15" s="82">
        <v>1497270.22</v>
      </c>
      <c r="E15" s="27">
        <v>831062.5</v>
      </c>
      <c r="F15" s="83">
        <f>1497270.22+831062.5</f>
        <v>2328332.7199999997</v>
      </c>
      <c r="G15" s="84">
        <f>4913862.79+2328332.72</f>
        <v>7242195.5099999998</v>
      </c>
      <c r="H15" s="100" t="s">
        <v>63</v>
      </c>
      <c r="I15" s="3"/>
    </row>
    <row r="16" spans="1:9" s="3" customFormat="1" ht="14.5" x14ac:dyDescent="0.35">
      <c r="B16" s="43">
        <v>8</v>
      </c>
      <c r="C16" s="41" t="s">
        <v>26</v>
      </c>
      <c r="D16" s="27">
        <v>1809356.01</v>
      </c>
      <c r="E16" s="27">
        <v>0</v>
      </c>
      <c r="F16" s="65">
        <f t="shared" ref="F16:F34" si="0">+E16+D16</f>
        <v>1809356.01</v>
      </c>
      <c r="G16" s="85">
        <f>+G15+F16</f>
        <v>9051551.5199999996</v>
      </c>
      <c r="H16" s="100"/>
      <c r="I16" s="54"/>
    </row>
    <row r="17" spans="2:10" s="3" customFormat="1" ht="14.5" x14ac:dyDescent="0.35">
      <c r="B17" s="43">
        <v>9</v>
      </c>
      <c r="C17" s="41" t="s">
        <v>27</v>
      </c>
      <c r="D17" s="27">
        <v>1401684.53</v>
      </c>
      <c r="E17" s="27"/>
      <c r="F17" s="65">
        <f t="shared" si="0"/>
        <v>1401684.53</v>
      </c>
      <c r="G17" s="85">
        <f t="shared" ref="G17:G34" si="1">+G16+F17</f>
        <v>10453236.049999999</v>
      </c>
      <c r="H17" s="100"/>
      <c r="I17" s="60"/>
      <c r="J17" s="60"/>
    </row>
    <row r="18" spans="2:10" s="3" customFormat="1" ht="14.5" hidden="1" x14ac:dyDescent="0.35">
      <c r="B18" s="43">
        <v>10</v>
      </c>
      <c r="C18" s="41" t="s">
        <v>74</v>
      </c>
      <c r="D18" s="27"/>
      <c r="E18" s="27"/>
      <c r="F18" s="65">
        <f t="shared" si="0"/>
        <v>0</v>
      </c>
      <c r="G18" s="85">
        <f t="shared" si="1"/>
        <v>10453236.049999999</v>
      </c>
      <c r="H18" s="100"/>
      <c r="I18" s="60"/>
      <c r="J18" s="60"/>
    </row>
    <row r="19" spans="2:10" s="3" customFormat="1" ht="14.5" hidden="1" x14ac:dyDescent="0.35">
      <c r="B19" s="43">
        <v>11</v>
      </c>
      <c r="C19" s="41" t="s">
        <v>75</v>
      </c>
      <c r="D19" s="27"/>
      <c r="E19" s="27"/>
      <c r="F19" s="65">
        <f t="shared" si="0"/>
        <v>0</v>
      </c>
      <c r="G19" s="85">
        <f t="shared" si="1"/>
        <v>10453236.049999999</v>
      </c>
      <c r="H19" s="100"/>
      <c r="I19" s="60"/>
      <c r="J19" s="60"/>
    </row>
    <row r="20" spans="2:10" s="3" customFormat="1" ht="14.5" hidden="1" x14ac:dyDescent="0.35">
      <c r="B20" s="43">
        <v>12</v>
      </c>
      <c r="C20" s="41" t="s">
        <v>76</v>
      </c>
      <c r="D20" s="27"/>
      <c r="E20" s="27"/>
      <c r="F20" s="65">
        <f t="shared" si="0"/>
        <v>0</v>
      </c>
      <c r="G20" s="85">
        <f t="shared" si="1"/>
        <v>10453236.049999999</v>
      </c>
      <c r="H20" s="100"/>
      <c r="I20" s="60"/>
      <c r="J20" s="60"/>
    </row>
    <row r="21" spans="2:10" s="3" customFormat="1" ht="14.5" hidden="1" x14ac:dyDescent="0.35">
      <c r="B21" s="43">
        <v>13</v>
      </c>
      <c r="C21" s="41" t="s">
        <v>77</v>
      </c>
      <c r="D21" s="27"/>
      <c r="E21" s="27"/>
      <c r="F21" s="65">
        <f t="shared" si="0"/>
        <v>0</v>
      </c>
      <c r="G21" s="85">
        <f t="shared" si="1"/>
        <v>10453236.049999999</v>
      </c>
      <c r="H21" s="100"/>
      <c r="I21" s="60"/>
      <c r="J21" s="60"/>
    </row>
    <row r="22" spans="2:10" s="3" customFormat="1" ht="14.5" hidden="1" x14ac:dyDescent="0.35">
      <c r="B22" s="43">
        <v>14</v>
      </c>
      <c r="C22" s="104" t="s">
        <v>78</v>
      </c>
      <c r="D22" s="27"/>
      <c r="E22" s="27"/>
      <c r="F22" s="65">
        <f t="shared" si="0"/>
        <v>0</v>
      </c>
      <c r="G22" s="85">
        <f t="shared" si="1"/>
        <v>10453236.049999999</v>
      </c>
      <c r="H22" s="100"/>
      <c r="I22" s="60"/>
      <c r="J22" s="60"/>
    </row>
    <row r="23" spans="2:10" s="3" customFormat="1" ht="14.5" hidden="1" x14ac:dyDescent="0.35">
      <c r="B23" s="43">
        <v>15</v>
      </c>
      <c r="C23" s="41" t="s">
        <v>79</v>
      </c>
      <c r="D23" s="27"/>
      <c r="E23" s="27"/>
      <c r="F23" s="65">
        <f t="shared" si="0"/>
        <v>0</v>
      </c>
      <c r="G23" s="85">
        <f t="shared" si="1"/>
        <v>10453236.049999999</v>
      </c>
      <c r="H23" s="100"/>
      <c r="I23" s="60"/>
      <c r="J23" s="60"/>
    </row>
    <row r="24" spans="2:10" s="3" customFormat="1" ht="14.5" hidden="1" x14ac:dyDescent="0.35">
      <c r="B24" s="43">
        <v>16</v>
      </c>
      <c r="C24" s="41" t="s">
        <v>80</v>
      </c>
      <c r="D24" s="27"/>
      <c r="E24" s="27"/>
      <c r="F24" s="65">
        <f t="shared" si="0"/>
        <v>0</v>
      </c>
      <c r="G24" s="85">
        <f t="shared" si="1"/>
        <v>10453236.049999999</v>
      </c>
      <c r="H24" s="100"/>
      <c r="I24" s="60"/>
      <c r="J24" s="60"/>
    </row>
    <row r="25" spans="2:10" s="3" customFormat="1" ht="14.5" hidden="1" x14ac:dyDescent="0.35">
      <c r="B25" s="43">
        <v>17</v>
      </c>
      <c r="C25" s="41" t="s">
        <v>81</v>
      </c>
      <c r="D25" s="27"/>
      <c r="E25" s="27"/>
      <c r="F25" s="65">
        <f t="shared" si="0"/>
        <v>0</v>
      </c>
      <c r="G25" s="85">
        <f t="shared" si="1"/>
        <v>10453236.049999999</v>
      </c>
      <c r="H25" s="100"/>
      <c r="I25" s="60"/>
      <c r="J25" s="60"/>
    </row>
    <row r="26" spans="2:10" s="3" customFormat="1" ht="14.5" hidden="1" x14ac:dyDescent="0.35">
      <c r="B26" s="43">
        <v>18</v>
      </c>
      <c r="C26" s="41" t="s">
        <v>82</v>
      </c>
      <c r="D26" s="27"/>
      <c r="E26" s="27"/>
      <c r="F26" s="65">
        <f t="shared" si="0"/>
        <v>0</v>
      </c>
      <c r="G26" s="85">
        <f t="shared" si="1"/>
        <v>10453236.049999999</v>
      </c>
      <c r="H26" s="100"/>
      <c r="I26" s="60"/>
      <c r="J26" s="60"/>
    </row>
    <row r="27" spans="2:10" s="3" customFormat="1" ht="14.5" hidden="1" x14ac:dyDescent="0.35">
      <c r="B27" s="43">
        <v>19</v>
      </c>
      <c r="C27" s="41" t="s">
        <v>83</v>
      </c>
      <c r="D27" s="27"/>
      <c r="E27" s="27"/>
      <c r="F27" s="65">
        <f t="shared" si="0"/>
        <v>0</v>
      </c>
      <c r="G27" s="85">
        <f t="shared" si="1"/>
        <v>10453236.049999999</v>
      </c>
      <c r="H27" s="100"/>
      <c r="I27" s="60"/>
      <c r="J27" s="60"/>
    </row>
    <row r="28" spans="2:10" s="3" customFormat="1" ht="14.5" hidden="1" x14ac:dyDescent="0.35">
      <c r="B28" s="43">
        <v>20</v>
      </c>
      <c r="C28" s="41" t="s">
        <v>84</v>
      </c>
      <c r="D28" s="27"/>
      <c r="E28" s="27"/>
      <c r="F28" s="65">
        <f t="shared" si="0"/>
        <v>0</v>
      </c>
      <c r="G28" s="85">
        <f t="shared" si="1"/>
        <v>10453236.049999999</v>
      </c>
      <c r="H28" s="100"/>
      <c r="I28" s="60"/>
      <c r="J28" s="60"/>
    </row>
    <row r="29" spans="2:10" s="3" customFormat="1" ht="14.5" hidden="1" x14ac:dyDescent="0.35">
      <c r="B29" s="43">
        <v>21</v>
      </c>
      <c r="C29" s="41" t="s">
        <v>85</v>
      </c>
      <c r="D29" s="27"/>
      <c r="E29" s="27"/>
      <c r="F29" s="65">
        <f t="shared" si="0"/>
        <v>0</v>
      </c>
      <c r="G29" s="85">
        <f t="shared" si="1"/>
        <v>10453236.049999999</v>
      </c>
      <c r="H29" s="100"/>
      <c r="I29" s="60"/>
      <c r="J29" s="60"/>
    </row>
    <row r="30" spans="2:10" s="3" customFormat="1" ht="14.5" hidden="1" x14ac:dyDescent="0.35">
      <c r="B30" s="43">
        <v>22</v>
      </c>
      <c r="C30" s="41" t="s">
        <v>86</v>
      </c>
      <c r="D30" s="27"/>
      <c r="E30" s="27"/>
      <c r="F30" s="65">
        <f t="shared" si="0"/>
        <v>0</v>
      </c>
      <c r="G30" s="85">
        <f t="shared" si="1"/>
        <v>10453236.049999999</v>
      </c>
      <c r="H30" s="100"/>
      <c r="I30" s="60"/>
      <c r="J30" s="60"/>
    </row>
    <row r="31" spans="2:10" s="3" customFormat="1" ht="14.5" hidden="1" x14ac:dyDescent="0.35">
      <c r="B31" s="43">
        <v>23</v>
      </c>
      <c r="C31" s="41" t="s">
        <v>87</v>
      </c>
      <c r="D31" s="27"/>
      <c r="E31" s="27"/>
      <c r="F31" s="65">
        <f t="shared" si="0"/>
        <v>0</v>
      </c>
      <c r="G31" s="85">
        <f t="shared" si="1"/>
        <v>10453236.049999999</v>
      </c>
      <c r="H31" s="100"/>
      <c r="I31" s="60"/>
      <c r="J31" s="60"/>
    </row>
    <row r="32" spans="2:10" s="3" customFormat="1" ht="14.5" hidden="1" x14ac:dyDescent="0.35">
      <c r="B32" s="43">
        <v>24</v>
      </c>
      <c r="C32" s="41" t="s">
        <v>88</v>
      </c>
      <c r="D32" s="27"/>
      <c r="E32" s="27"/>
      <c r="F32" s="65">
        <f t="shared" si="0"/>
        <v>0</v>
      </c>
      <c r="G32" s="85">
        <f t="shared" si="1"/>
        <v>10453236.049999999</v>
      </c>
      <c r="H32" s="100"/>
      <c r="I32" s="60"/>
      <c r="J32" s="60"/>
    </row>
    <row r="33" spans="1:10" s="3" customFormat="1" ht="14.5" hidden="1" x14ac:dyDescent="0.35">
      <c r="B33" s="43">
        <v>25</v>
      </c>
      <c r="C33" s="105" t="s">
        <v>89</v>
      </c>
      <c r="D33" s="27"/>
      <c r="E33" s="27"/>
      <c r="F33" s="65">
        <f t="shared" si="0"/>
        <v>0</v>
      </c>
      <c r="G33" s="85">
        <f t="shared" si="1"/>
        <v>10453236.049999999</v>
      </c>
      <c r="H33" s="100"/>
      <c r="I33" s="60"/>
      <c r="J33" s="60"/>
    </row>
    <row r="34" spans="1:10" s="3" customFormat="1" ht="14.5" hidden="1" x14ac:dyDescent="0.35">
      <c r="B34" s="43">
        <v>26</v>
      </c>
      <c r="C34" s="105" t="s">
        <v>90</v>
      </c>
      <c r="D34" s="34"/>
      <c r="E34" s="34"/>
      <c r="F34" s="94">
        <f t="shared" si="0"/>
        <v>0</v>
      </c>
      <c r="G34" s="106">
        <f t="shared" si="1"/>
        <v>10453236.049999999</v>
      </c>
      <c r="H34" s="100"/>
      <c r="I34" s="60"/>
      <c r="J34" s="60"/>
    </row>
    <row r="35" spans="1:10" ht="14.5" x14ac:dyDescent="0.35">
      <c r="A35" s="3"/>
      <c r="B35" s="5" t="s">
        <v>63</v>
      </c>
      <c r="C35" s="47" t="s">
        <v>63</v>
      </c>
      <c r="D35" s="86" t="s">
        <v>63</v>
      </c>
      <c r="E35" s="86" t="s">
        <v>63</v>
      </c>
      <c r="F35" s="86" t="s">
        <v>63</v>
      </c>
      <c r="G35" s="86" t="s">
        <v>63</v>
      </c>
      <c r="H35" s="6" t="s">
        <v>63</v>
      </c>
      <c r="I35" s="3"/>
    </row>
    <row r="36" spans="1:10" ht="14.5" x14ac:dyDescent="0.35">
      <c r="A36" s="3"/>
      <c r="B36" s="8" t="s">
        <v>44</v>
      </c>
      <c r="C36" s="58"/>
      <c r="D36" s="86" t="s">
        <v>63</v>
      </c>
      <c r="E36" s="86" t="s">
        <v>63</v>
      </c>
      <c r="F36" s="86" t="s">
        <v>63</v>
      </c>
      <c r="G36" s="86" t="s">
        <v>63</v>
      </c>
      <c r="H36" s="6" t="s">
        <v>63</v>
      </c>
      <c r="I36" s="3"/>
    </row>
    <row r="37" spans="1:10" ht="14.5" x14ac:dyDescent="0.35">
      <c r="A37" s="3"/>
      <c r="B37" s="9" t="s">
        <v>45</v>
      </c>
      <c r="C37" s="5"/>
      <c r="D37" s="6"/>
      <c r="E37" s="6"/>
      <c r="F37" s="87"/>
      <c r="G37" s="87"/>
      <c r="H37" s="101"/>
      <c r="I37" s="3"/>
    </row>
    <row r="38" spans="1:10" ht="14.5" x14ac:dyDescent="0.35">
      <c r="A38" s="3"/>
      <c r="B38" s="9" t="s">
        <v>46</v>
      </c>
      <c r="C38" s="5"/>
      <c r="D38" s="6"/>
      <c r="E38" s="6"/>
      <c r="F38" s="87"/>
      <c r="G38" s="86" t="s">
        <v>63</v>
      </c>
      <c r="H38" s="6" t="s">
        <v>63</v>
      </c>
      <c r="I38" s="3"/>
    </row>
    <row r="39" spans="1:10" ht="14.5" x14ac:dyDescent="0.35">
      <c r="A39" s="3"/>
      <c r="B39" s="9" t="s">
        <v>47</v>
      </c>
      <c r="C39" s="5"/>
      <c r="D39" s="6"/>
      <c r="E39" s="6"/>
      <c r="F39" s="86" t="s">
        <v>63</v>
      </c>
      <c r="G39" s="86" t="s">
        <v>63</v>
      </c>
      <c r="H39" s="6" t="s">
        <v>63</v>
      </c>
      <c r="I39" s="3"/>
    </row>
    <row r="40" spans="1:10" ht="14.5" x14ac:dyDescent="0.35">
      <c r="A40" s="3"/>
      <c r="B40" s="9" t="s">
        <v>63</v>
      </c>
      <c r="C40" s="47" t="s">
        <v>63</v>
      </c>
      <c r="D40" s="86" t="s">
        <v>63</v>
      </c>
      <c r="E40" s="86" t="s">
        <v>63</v>
      </c>
      <c r="F40" s="86" t="s">
        <v>63</v>
      </c>
      <c r="G40" s="86" t="s">
        <v>63</v>
      </c>
      <c r="H40" s="6" t="s">
        <v>63</v>
      </c>
      <c r="I40" s="3"/>
    </row>
    <row r="41" spans="1:10" ht="14.5" x14ac:dyDescent="0.35">
      <c r="A41" s="3"/>
      <c r="B41" s="9" t="s">
        <v>63</v>
      </c>
      <c r="C41" s="47" t="s">
        <v>63</v>
      </c>
      <c r="D41" s="86" t="s">
        <v>63</v>
      </c>
      <c r="E41" s="86" t="s">
        <v>63</v>
      </c>
      <c r="F41" s="86" t="s">
        <v>63</v>
      </c>
      <c r="G41" s="86" t="s">
        <v>63</v>
      </c>
      <c r="H41" s="6" t="s">
        <v>63</v>
      </c>
      <c r="I41" s="3"/>
    </row>
    <row r="42" spans="1:10" ht="18.5" x14ac:dyDescent="0.45">
      <c r="A42" s="3"/>
      <c r="C42" s="48"/>
      <c r="D42" s="181" t="s">
        <v>48</v>
      </c>
      <c r="E42" s="181"/>
      <c r="F42" s="181"/>
      <c r="G42" s="181"/>
      <c r="H42" s="181"/>
      <c r="I42" s="3"/>
    </row>
    <row r="43" spans="1:10" ht="16" x14ac:dyDescent="0.4">
      <c r="A43" s="38"/>
      <c r="B43" s="28" t="s">
        <v>63</v>
      </c>
      <c r="C43" s="59" t="s">
        <v>63</v>
      </c>
      <c r="D43" s="182" t="s">
        <v>64</v>
      </c>
      <c r="E43" s="182"/>
      <c r="F43" s="182"/>
      <c r="G43" s="182"/>
      <c r="H43" s="182"/>
      <c r="I43" s="38"/>
    </row>
    <row r="44" spans="1:10" ht="15.9" customHeight="1" x14ac:dyDescent="0.4">
      <c r="A44" s="3"/>
      <c r="B44" s="124" t="s">
        <v>73</v>
      </c>
      <c r="C44" s="124"/>
      <c r="D44" s="124"/>
      <c r="E44" s="124"/>
      <c r="F44" s="124"/>
      <c r="G44" s="124"/>
      <c r="H44" s="124"/>
      <c r="I44" s="3"/>
    </row>
    <row r="45" spans="1:10" ht="14.5" x14ac:dyDescent="0.35">
      <c r="A45" s="3"/>
      <c r="B45" s="15"/>
      <c r="C45" s="16"/>
      <c r="D45" s="114" t="s">
        <v>7</v>
      </c>
      <c r="E45" s="115"/>
      <c r="F45" s="115"/>
      <c r="G45" s="176"/>
      <c r="H45" s="177" t="s">
        <v>63</v>
      </c>
      <c r="I45" s="3"/>
    </row>
    <row r="46" spans="1:10" ht="14.5" x14ac:dyDescent="0.35">
      <c r="A46" s="3"/>
      <c r="B46" s="13"/>
      <c r="C46" s="14"/>
      <c r="D46" s="121" t="s">
        <v>10</v>
      </c>
      <c r="E46" s="122"/>
      <c r="F46" s="122"/>
      <c r="G46" s="178"/>
      <c r="H46" s="177"/>
      <c r="I46" s="3"/>
    </row>
    <row r="47" spans="1:10" ht="14.5" x14ac:dyDescent="0.35">
      <c r="A47" s="3"/>
      <c r="B47" s="128" t="s">
        <v>11</v>
      </c>
      <c r="C47" s="130" t="s">
        <v>12</v>
      </c>
      <c r="D47" s="80" t="s">
        <v>13</v>
      </c>
      <c r="E47" s="80" t="s">
        <v>14</v>
      </c>
      <c r="F47" s="80" t="s">
        <v>15</v>
      </c>
      <c r="G47" s="81" t="s">
        <v>16</v>
      </c>
      <c r="H47" s="172" t="s">
        <v>63</v>
      </c>
      <c r="I47" s="3"/>
    </row>
    <row r="48" spans="1:10" ht="14.5" x14ac:dyDescent="0.35">
      <c r="A48" s="3"/>
      <c r="B48" s="129"/>
      <c r="C48" s="131"/>
      <c r="D48" s="141" t="s">
        <v>21</v>
      </c>
      <c r="E48" s="142"/>
      <c r="F48" s="142"/>
      <c r="G48" s="173"/>
      <c r="H48" s="172"/>
      <c r="I48" s="3"/>
    </row>
    <row r="49" spans="1:10" ht="14.5" x14ac:dyDescent="0.35">
      <c r="A49" s="3"/>
      <c r="B49" s="43">
        <v>4</v>
      </c>
      <c r="C49" s="56" t="s">
        <v>22</v>
      </c>
      <c r="D49" s="82">
        <v>187898.5</v>
      </c>
      <c r="E49" s="22">
        <v>0</v>
      </c>
      <c r="F49" s="83">
        <v>187898.5</v>
      </c>
      <c r="G49" s="84">
        <f>+F49</f>
        <v>187898.5</v>
      </c>
      <c r="H49" s="100" t="s">
        <v>63</v>
      </c>
      <c r="I49" s="3"/>
    </row>
    <row r="50" spans="1:10" ht="14.5" x14ac:dyDescent="0.35">
      <c r="A50" s="3"/>
      <c r="B50" s="50">
        <v>5</v>
      </c>
      <c r="C50" s="57" t="s">
        <v>23</v>
      </c>
      <c r="D50" s="82">
        <v>1650672.5</v>
      </c>
      <c r="E50" s="27">
        <v>0</v>
      </c>
      <c r="F50" s="83">
        <v>1650672.5</v>
      </c>
      <c r="G50" s="84">
        <f>+G49+F50</f>
        <v>1838571</v>
      </c>
      <c r="H50" s="100" t="s">
        <v>63</v>
      </c>
      <c r="I50" s="3"/>
    </row>
    <row r="51" spans="1:10" ht="14.5" x14ac:dyDescent="0.35">
      <c r="A51" s="3"/>
      <c r="B51" s="50">
        <v>6</v>
      </c>
      <c r="C51" s="57" t="s">
        <v>24</v>
      </c>
      <c r="D51" s="82">
        <v>2517090.29</v>
      </c>
      <c r="E51" s="27">
        <v>0</v>
      </c>
      <c r="F51" s="83">
        <v>2517090.29</v>
      </c>
      <c r="G51" s="84">
        <f>+G50+F51</f>
        <v>4355661.29</v>
      </c>
      <c r="H51" s="100" t="s">
        <v>63</v>
      </c>
      <c r="I51" s="3"/>
    </row>
    <row r="52" spans="1:10" ht="14.5" x14ac:dyDescent="0.35">
      <c r="A52" s="3"/>
      <c r="B52" s="50">
        <v>7</v>
      </c>
      <c r="C52" s="57" t="s">
        <v>25</v>
      </c>
      <c r="D52" s="82">
        <v>1362926.72</v>
      </c>
      <c r="E52" s="27">
        <v>383556.5</v>
      </c>
      <c r="F52" s="83">
        <f>1362926.72+383556.5</f>
        <v>1746483.22</v>
      </c>
      <c r="G52" s="84">
        <f>+G51+F52</f>
        <v>6102144.5099999998</v>
      </c>
      <c r="H52" s="100" t="s">
        <v>63</v>
      </c>
      <c r="I52" s="3"/>
    </row>
    <row r="53" spans="1:10" s="3" customFormat="1" ht="14.5" x14ac:dyDescent="0.35">
      <c r="B53" s="43">
        <v>8</v>
      </c>
      <c r="C53" s="41" t="s">
        <v>26</v>
      </c>
      <c r="D53" s="27">
        <v>1329656.5</v>
      </c>
      <c r="E53" s="27">
        <v>0</v>
      </c>
      <c r="F53" s="65">
        <f t="shared" ref="F53:F71" si="2">+E53+D53</f>
        <v>1329656.5</v>
      </c>
      <c r="G53" s="85">
        <f>+G52+F53</f>
        <v>7431801.0099999998</v>
      </c>
      <c r="H53" s="100"/>
      <c r="I53" s="10"/>
    </row>
    <row r="54" spans="1:10" s="3" customFormat="1" ht="14.5" x14ac:dyDescent="0.35">
      <c r="B54" s="43">
        <v>9</v>
      </c>
      <c r="C54" s="41" t="s">
        <v>27</v>
      </c>
      <c r="D54" s="27">
        <v>723423.01</v>
      </c>
      <c r="E54" s="27">
        <v>0</v>
      </c>
      <c r="F54" s="65">
        <f t="shared" si="2"/>
        <v>723423.01</v>
      </c>
      <c r="G54" s="85">
        <f t="shared" ref="G54:G71" si="3">+G53+F54</f>
        <v>8155224.0199999996</v>
      </c>
      <c r="H54" s="100"/>
      <c r="I54" s="60"/>
      <c r="J54" s="60"/>
    </row>
    <row r="55" spans="1:10" s="3" customFormat="1" ht="14.5" hidden="1" x14ac:dyDescent="0.35">
      <c r="B55" s="43">
        <v>10</v>
      </c>
      <c r="C55" s="41" t="s">
        <v>74</v>
      </c>
      <c r="D55" s="27"/>
      <c r="E55" s="27"/>
      <c r="F55" s="65">
        <f t="shared" si="2"/>
        <v>0</v>
      </c>
      <c r="G55" s="85">
        <f t="shared" si="3"/>
        <v>8155224.0199999996</v>
      </c>
      <c r="H55" s="100"/>
      <c r="I55" s="60"/>
      <c r="J55" s="60"/>
    </row>
    <row r="56" spans="1:10" s="3" customFormat="1" ht="14.5" hidden="1" x14ac:dyDescent="0.35">
      <c r="B56" s="43">
        <v>11</v>
      </c>
      <c r="C56" s="41" t="s">
        <v>75</v>
      </c>
      <c r="D56" s="27"/>
      <c r="E56" s="27"/>
      <c r="F56" s="65">
        <f t="shared" si="2"/>
        <v>0</v>
      </c>
      <c r="G56" s="85">
        <f t="shared" si="3"/>
        <v>8155224.0199999996</v>
      </c>
      <c r="H56" s="100"/>
      <c r="I56" s="60"/>
      <c r="J56" s="60"/>
    </row>
    <row r="57" spans="1:10" s="3" customFormat="1" ht="14.5" hidden="1" x14ac:dyDescent="0.35">
      <c r="B57" s="43">
        <v>12</v>
      </c>
      <c r="C57" s="41" t="s">
        <v>76</v>
      </c>
      <c r="D57" s="27"/>
      <c r="E57" s="27"/>
      <c r="F57" s="65">
        <f t="shared" si="2"/>
        <v>0</v>
      </c>
      <c r="G57" s="85">
        <f t="shared" si="3"/>
        <v>8155224.0199999996</v>
      </c>
      <c r="H57" s="100"/>
      <c r="I57" s="60"/>
      <c r="J57" s="60"/>
    </row>
    <row r="58" spans="1:10" s="3" customFormat="1" ht="14.5" hidden="1" x14ac:dyDescent="0.35">
      <c r="B58" s="43">
        <v>13</v>
      </c>
      <c r="C58" s="41" t="s">
        <v>77</v>
      </c>
      <c r="D58" s="27"/>
      <c r="E58" s="27"/>
      <c r="F58" s="65">
        <f t="shared" si="2"/>
        <v>0</v>
      </c>
      <c r="G58" s="85">
        <f t="shared" si="3"/>
        <v>8155224.0199999996</v>
      </c>
      <c r="H58" s="100"/>
      <c r="I58" s="60"/>
      <c r="J58" s="60"/>
    </row>
    <row r="59" spans="1:10" s="3" customFormat="1" ht="14.5" hidden="1" x14ac:dyDescent="0.35">
      <c r="B59" s="43">
        <v>14</v>
      </c>
      <c r="C59" s="104" t="s">
        <v>78</v>
      </c>
      <c r="D59" s="27"/>
      <c r="E59" s="27"/>
      <c r="F59" s="65">
        <f t="shared" si="2"/>
        <v>0</v>
      </c>
      <c r="G59" s="85">
        <f t="shared" si="3"/>
        <v>8155224.0199999996</v>
      </c>
      <c r="H59" s="100"/>
      <c r="I59" s="60"/>
      <c r="J59" s="60"/>
    </row>
    <row r="60" spans="1:10" s="3" customFormat="1" ht="14.5" hidden="1" x14ac:dyDescent="0.35">
      <c r="B60" s="43">
        <v>15</v>
      </c>
      <c r="C60" s="41" t="s">
        <v>79</v>
      </c>
      <c r="D60" s="27"/>
      <c r="E60" s="27"/>
      <c r="F60" s="65">
        <f t="shared" si="2"/>
        <v>0</v>
      </c>
      <c r="G60" s="85">
        <f t="shared" si="3"/>
        <v>8155224.0199999996</v>
      </c>
      <c r="H60" s="100"/>
      <c r="I60" s="60"/>
      <c r="J60" s="60"/>
    </row>
    <row r="61" spans="1:10" s="3" customFormat="1" ht="14.5" hidden="1" x14ac:dyDescent="0.35">
      <c r="B61" s="43">
        <v>16</v>
      </c>
      <c r="C61" s="41" t="s">
        <v>80</v>
      </c>
      <c r="D61" s="27"/>
      <c r="E61" s="27"/>
      <c r="F61" s="65">
        <f t="shared" si="2"/>
        <v>0</v>
      </c>
      <c r="G61" s="85">
        <f t="shared" si="3"/>
        <v>8155224.0199999996</v>
      </c>
      <c r="H61" s="100"/>
      <c r="I61" s="60"/>
      <c r="J61" s="60"/>
    </row>
    <row r="62" spans="1:10" s="3" customFormat="1" ht="14.5" hidden="1" x14ac:dyDescent="0.35">
      <c r="B62" s="43">
        <v>17</v>
      </c>
      <c r="C62" s="41" t="s">
        <v>81</v>
      </c>
      <c r="D62" s="27"/>
      <c r="E62" s="27"/>
      <c r="F62" s="65">
        <f t="shared" si="2"/>
        <v>0</v>
      </c>
      <c r="G62" s="85">
        <f t="shared" si="3"/>
        <v>8155224.0199999996</v>
      </c>
      <c r="H62" s="100"/>
      <c r="I62" s="60"/>
      <c r="J62" s="60"/>
    </row>
    <row r="63" spans="1:10" s="3" customFormat="1" ht="14.5" hidden="1" x14ac:dyDescent="0.35">
      <c r="B63" s="43">
        <v>18</v>
      </c>
      <c r="C63" s="41" t="s">
        <v>82</v>
      </c>
      <c r="D63" s="27"/>
      <c r="E63" s="27"/>
      <c r="F63" s="65">
        <f t="shared" si="2"/>
        <v>0</v>
      </c>
      <c r="G63" s="85">
        <f t="shared" si="3"/>
        <v>8155224.0199999996</v>
      </c>
      <c r="H63" s="100"/>
      <c r="I63" s="60"/>
      <c r="J63" s="60"/>
    </row>
    <row r="64" spans="1:10" s="3" customFormat="1" ht="14.5" hidden="1" x14ac:dyDescent="0.35">
      <c r="B64" s="43">
        <v>19</v>
      </c>
      <c r="C64" s="41" t="s">
        <v>83</v>
      </c>
      <c r="D64" s="27"/>
      <c r="E64" s="27"/>
      <c r="F64" s="65">
        <f t="shared" si="2"/>
        <v>0</v>
      </c>
      <c r="G64" s="85">
        <f t="shared" si="3"/>
        <v>8155224.0199999996</v>
      </c>
      <c r="H64" s="100"/>
      <c r="I64" s="60"/>
      <c r="J64" s="60"/>
    </row>
    <row r="65" spans="1:10" s="3" customFormat="1" ht="14.5" hidden="1" x14ac:dyDescent="0.35">
      <c r="B65" s="43">
        <v>20</v>
      </c>
      <c r="C65" s="41" t="s">
        <v>84</v>
      </c>
      <c r="D65" s="27"/>
      <c r="E65" s="27"/>
      <c r="F65" s="65">
        <f t="shared" si="2"/>
        <v>0</v>
      </c>
      <c r="G65" s="85">
        <f t="shared" si="3"/>
        <v>8155224.0199999996</v>
      </c>
      <c r="H65" s="100"/>
      <c r="I65" s="60"/>
      <c r="J65" s="60"/>
    </row>
    <row r="66" spans="1:10" s="3" customFormat="1" ht="14.5" hidden="1" x14ac:dyDescent="0.35">
      <c r="B66" s="43">
        <v>21</v>
      </c>
      <c r="C66" s="41" t="s">
        <v>85</v>
      </c>
      <c r="D66" s="27"/>
      <c r="E66" s="27"/>
      <c r="F66" s="65">
        <f t="shared" si="2"/>
        <v>0</v>
      </c>
      <c r="G66" s="85">
        <f t="shared" si="3"/>
        <v>8155224.0199999996</v>
      </c>
      <c r="H66" s="100"/>
      <c r="I66" s="60"/>
      <c r="J66" s="60"/>
    </row>
    <row r="67" spans="1:10" s="3" customFormat="1" ht="14.5" hidden="1" x14ac:dyDescent="0.35">
      <c r="B67" s="43">
        <v>22</v>
      </c>
      <c r="C67" s="41" t="s">
        <v>86</v>
      </c>
      <c r="D67" s="27"/>
      <c r="E67" s="27"/>
      <c r="F67" s="65">
        <f t="shared" si="2"/>
        <v>0</v>
      </c>
      <c r="G67" s="85">
        <f t="shared" si="3"/>
        <v>8155224.0199999996</v>
      </c>
      <c r="H67" s="100"/>
      <c r="I67" s="60"/>
      <c r="J67" s="60"/>
    </row>
    <row r="68" spans="1:10" s="3" customFormat="1" ht="14.5" hidden="1" x14ac:dyDescent="0.35">
      <c r="B68" s="43">
        <v>23</v>
      </c>
      <c r="C68" s="41" t="s">
        <v>87</v>
      </c>
      <c r="D68" s="27"/>
      <c r="E68" s="27"/>
      <c r="F68" s="65">
        <f t="shared" si="2"/>
        <v>0</v>
      </c>
      <c r="G68" s="85">
        <f t="shared" si="3"/>
        <v>8155224.0199999996</v>
      </c>
      <c r="H68" s="100"/>
      <c r="I68" s="60"/>
      <c r="J68" s="60"/>
    </row>
    <row r="69" spans="1:10" s="3" customFormat="1" ht="14.5" hidden="1" x14ac:dyDescent="0.35">
      <c r="B69" s="43">
        <v>24</v>
      </c>
      <c r="C69" s="41" t="s">
        <v>88</v>
      </c>
      <c r="D69" s="27"/>
      <c r="E69" s="27"/>
      <c r="F69" s="65">
        <f t="shared" si="2"/>
        <v>0</v>
      </c>
      <c r="G69" s="85">
        <f t="shared" si="3"/>
        <v>8155224.0199999996</v>
      </c>
      <c r="H69" s="100"/>
      <c r="I69" s="60"/>
      <c r="J69" s="60"/>
    </row>
    <row r="70" spans="1:10" s="3" customFormat="1" ht="14.5" hidden="1" x14ac:dyDescent="0.35">
      <c r="B70" s="43">
        <v>25</v>
      </c>
      <c r="C70" s="105" t="s">
        <v>89</v>
      </c>
      <c r="D70" s="27"/>
      <c r="E70" s="27"/>
      <c r="F70" s="65">
        <f t="shared" si="2"/>
        <v>0</v>
      </c>
      <c r="G70" s="85">
        <f t="shared" si="3"/>
        <v>8155224.0199999996</v>
      </c>
      <c r="H70" s="100"/>
      <c r="I70" s="60"/>
      <c r="J70" s="60"/>
    </row>
    <row r="71" spans="1:10" s="3" customFormat="1" ht="14.5" hidden="1" x14ac:dyDescent="0.35">
      <c r="B71" s="43">
        <v>26</v>
      </c>
      <c r="C71" s="105" t="s">
        <v>90</v>
      </c>
      <c r="D71" s="34"/>
      <c r="E71" s="34"/>
      <c r="F71" s="94">
        <f t="shared" si="2"/>
        <v>0</v>
      </c>
      <c r="G71" s="106">
        <f t="shared" si="3"/>
        <v>8155224.0199999996</v>
      </c>
      <c r="H71" s="100"/>
      <c r="I71" s="60"/>
      <c r="J71" s="60"/>
    </row>
    <row r="72" spans="1:10" ht="14.5" x14ac:dyDescent="0.35">
      <c r="A72" s="3"/>
      <c r="B72" s="5" t="s">
        <v>63</v>
      </c>
      <c r="C72" s="47" t="s">
        <v>63</v>
      </c>
      <c r="D72" s="86" t="s">
        <v>63</v>
      </c>
      <c r="E72" s="86" t="s">
        <v>63</v>
      </c>
      <c r="F72" s="86" t="s">
        <v>63</v>
      </c>
      <c r="G72" s="86" t="s">
        <v>63</v>
      </c>
      <c r="H72" s="6" t="s">
        <v>63</v>
      </c>
      <c r="I72" s="3"/>
    </row>
    <row r="73" spans="1:10" ht="14.5" x14ac:dyDescent="0.35">
      <c r="A73" s="3"/>
      <c r="B73" s="8" t="s">
        <v>44</v>
      </c>
      <c r="C73" s="58"/>
      <c r="D73" s="86" t="s">
        <v>63</v>
      </c>
      <c r="E73" s="86" t="s">
        <v>63</v>
      </c>
      <c r="F73" s="86" t="s">
        <v>63</v>
      </c>
      <c r="G73" s="86" t="s">
        <v>63</v>
      </c>
      <c r="H73" s="6" t="s">
        <v>63</v>
      </c>
      <c r="I73" s="3"/>
    </row>
    <row r="74" spans="1:10" ht="14.5" x14ac:dyDescent="0.35">
      <c r="A74" s="3"/>
      <c r="B74" s="9" t="s">
        <v>45</v>
      </c>
      <c r="C74" s="5"/>
      <c r="D74" s="6"/>
      <c r="E74" s="6"/>
      <c r="F74" s="87"/>
      <c r="G74" s="87"/>
      <c r="H74" s="101"/>
      <c r="I74" s="3"/>
    </row>
    <row r="75" spans="1:10" ht="14.5" x14ac:dyDescent="0.35">
      <c r="A75" s="3"/>
      <c r="B75" s="9" t="s">
        <v>46</v>
      </c>
      <c r="C75" s="5"/>
      <c r="D75" s="6"/>
      <c r="E75" s="6"/>
      <c r="F75" s="87"/>
      <c r="G75" s="86" t="s">
        <v>63</v>
      </c>
      <c r="H75" s="6" t="s">
        <v>63</v>
      </c>
      <c r="I75" s="3"/>
    </row>
    <row r="76" spans="1:10" ht="14.5" x14ac:dyDescent="0.35">
      <c r="A76" s="3"/>
      <c r="B76" s="9" t="s">
        <v>47</v>
      </c>
      <c r="C76" s="5"/>
      <c r="D76" s="6"/>
      <c r="E76" s="6"/>
      <c r="F76" s="86" t="s">
        <v>63</v>
      </c>
      <c r="G76" s="86" t="s">
        <v>63</v>
      </c>
      <c r="H76" s="6" t="s">
        <v>63</v>
      </c>
      <c r="I76" s="3"/>
    </row>
    <row r="77" spans="1:10" ht="14.5" x14ac:dyDescent="0.35">
      <c r="A77" s="3"/>
      <c r="B77" s="10"/>
      <c r="C77" s="48"/>
      <c r="D77" s="88"/>
      <c r="E77" s="88"/>
      <c r="F77" s="88"/>
      <c r="G77" s="88"/>
      <c r="H77" s="60"/>
      <c r="I77" s="3"/>
    </row>
    <row r="78" spans="1:10" ht="14.5" x14ac:dyDescent="0.35">
      <c r="A78" s="3"/>
      <c r="B78" s="10"/>
      <c r="C78" s="48"/>
      <c r="D78" s="88"/>
      <c r="E78" s="88"/>
      <c r="F78" s="88"/>
      <c r="G78" s="88"/>
      <c r="H78" s="60"/>
      <c r="I78" s="3"/>
    </row>
    <row r="79" spans="1:10" ht="18.5" x14ac:dyDescent="0.45">
      <c r="A79" s="3"/>
      <c r="C79" s="48"/>
      <c r="D79" s="179" t="s">
        <v>51</v>
      </c>
      <c r="E79" s="179"/>
      <c r="F79" s="179"/>
      <c r="G79" s="179"/>
      <c r="H79" s="179"/>
      <c r="I79" s="3"/>
    </row>
    <row r="80" spans="1:10" ht="16" x14ac:dyDescent="0.4">
      <c r="A80" s="38"/>
      <c r="B80" s="28" t="s">
        <v>63</v>
      </c>
      <c r="C80" s="59" t="s">
        <v>63</v>
      </c>
      <c r="D80" s="180" t="s">
        <v>64</v>
      </c>
      <c r="E80" s="180"/>
      <c r="F80" s="180"/>
      <c r="G80" s="180"/>
      <c r="H80" s="180"/>
      <c r="I80" s="38"/>
    </row>
    <row r="81" spans="1:10" ht="15.9" customHeight="1" x14ac:dyDescent="0.4">
      <c r="A81" s="3"/>
      <c r="B81" s="124" t="s">
        <v>73</v>
      </c>
      <c r="C81" s="124"/>
      <c r="D81" s="124"/>
      <c r="E81" s="124"/>
      <c r="F81" s="124"/>
      <c r="G81" s="124"/>
      <c r="H81" s="124"/>
      <c r="I81" s="3"/>
    </row>
    <row r="82" spans="1:10" ht="14.5" x14ac:dyDescent="0.35">
      <c r="A82" s="3"/>
      <c r="B82" s="15"/>
      <c r="C82" s="16"/>
      <c r="D82" s="114" t="s">
        <v>7</v>
      </c>
      <c r="E82" s="115"/>
      <c r="F82" s="115"/>
      <c r="G82" s="176"/>
      <c r="H82" s="177" t="s">
        <v>63</v>
      </c>
      <c r="I82" s="3"/>
    </row>
    <row r="83" spans="1:10" ht="14.5" x14ac:dyDescent="0.35">
      <c r="A83" s="3"/>
      <c r="B83" s="13"/>
      <c r="C83" s="14"/>
      <c r="D83" s="121" t="s">
        <v>10</v>
      </c>
      <c r="E83" s="122"/>
      <c r="F83" s="122"/>
      <c r="G83" s="178"/>
      <c r="H83" s="177"/>
      <c r="I83" s="3"/>
    </row>
    <row r="84" spans="1:10" ht="14.5" x14ac:dyDescent="0.35">
      <c r="A84" s="3"/>
      <c r="B84" s="128" t="s">
        <v>11</v>
      </c>
      <c r="C84" s="130" t="s">
        <v>12</v>
      </c>
      <c r="D84" s="80" t="s">
        <v>13</v>
      </c>
      <c r="E84" s="80" t="s">
        <v>14</v>
      </c>
      <c r="F84" s="80" t="s">
        <v>15</v>
      </c>
      <c r="G84" s="81" t="s">
        <v>16</v>
      </c>
      <c r="H84" s="172" t="s">
        <v>63</v>
      </c>
      <c r="I84" s="3"/>
    </row>
    <row r="85" spans="1:10" ht="14.5" x14ac:dyDescent="0.35">
      <c r="A85" s="3"/>
      <c r="B85" s="129"/>
      <c r="C85" s="131"/>
      <c r="D85" s="141" t="s">
        <v>21</v>
      </c>
      <c r="E85" s="142"/>
      <c r="F85" s="142"/>
      <c r="G85" s="173"/>
      <c r="H85" s="172"/>
      <c r="I85" s="3"/>
    </row>
    <row r="86" spans="1:10" ht="14.5" x14ac:dyDescent="0.35">
      <c r="A86" s="3"/>
      <c r="B86" s="43">
        <v>4</v>
      </c>
      <c r="C86" s="56" t="s">
        <v>22</v>
      </c>
      <c r="D86" s="22">
        <v>0</v>
      </c>
      <c r="E86" s="22">
        <v>0</v>
      </c>
      <c r="F86" s="22">
        <v>0</v>
      </c>
      <c r="G86" s="22">
        <v>0</v>
      </c>
      <c r="H86" s="100" t="s">
        <v>63</v>
      </c>
      <c r="I86" s="3"/>
    </row>
    <row r="87" spans="1:10" ht="14.5" x14ac:dyDescent="0.35">
      <c r="A87" s="3"/>
      <c r="B87" s="50">
        <v>5</v>
      </c>
      <c r="C87" s="57" t="s">
        <v>23</v>
      </c>
      <c r="D87" s="82">
        <v>59122.5</v>
      </c>
      <c r="E87" s="27">
        <v>0</v>
      </c>
      <c r="F87" s="83">
        <v>59122.5</v>
      </c>
      <c r="G87" s="84">
        <f>+F87</f>
        <v>59122.5</v>
      </c>
      <c r="H87" s="100" t="s">
        <v>63</v>
      </c>
      <c r="I87" s="3"/>
    </row>
    <row r="88" spans="1:10" ht="14.5" x14ac:dyDescent="0.35">
      <c r="A88" s="3"/>
      <c r="B88" s="50">
        <v>6</v>
      </c>
      <c r="C88" s="57" t="s">
        <v>24</v>
      </c>
      <c r="D88" s="82">
        <v>372395</v>
      </c>
      <c r="E88" s="27">
        <v>0</v>
      </c>
      <c r="F88" s="83">
        <v>372395.5</v>
      </c>
      <c r="G88" s="84">
        <f>+G87+F88</f>
        <v>431518</v>
      </c>
      <c r="H88" s="100" t="s">
        <v>63</v>
      </c>
      <c r="I88" s="3"/>
    </row>
    <row r="89" spans="1:10" ht="14.5" x14ac:dyDescent="0.35">
      <c r="A89" s="3"/>
      <c r="B89" s="50">
        <v>7</v>
      </c>
      <c r="C89" s="57" t="s">
        <v>25</v>
      </c>
      <c r="D89" s="82">
        <v>134343.5</v>
      </c>
      <c r="E89" s="27">
        <v>447506</v>
      </c>
      <c r="F89" s="83">
        <v>581849.5</v>
      </c>
      <c r="G89" s="84">
        <v>1013367</v>
      </c>
      <c r="H89" s="100" t="s">
        <v>63</v>
      </c>
      <c r="I89" s="3"/>
    </row>
    <row r="90" spans="1:10" s="3" customFormat="1" ht="14.5" x14ac:dyDescent="0.35">
      <c r="B90" s="43">
        <v>8</v>
      </c>
      <c r="C90" s="41" t="s">
        <v>26</v>
      </c>
      <c r="D90" s="27">
        <v>456216</v>
      </c>
      <c r="E90" s="27">
        <v>0</v>
      </c>
      <c r="F90" s="65">
        <f t="shared" ref="F90:F108" si="4">+E90+D90</f>
        <v>456216</v>
      </c>
      <c r="G90" s="85">
        <f>+G89+F90</f>
        <v>1469583</v>
      </c>
      <c r="H90" s="100"/>
      <c r="I90" s="10"/>
    </row>
    <row r="91" spans="1:10" s="3" customFormat="1" ht="14.5" x14ac:dyDescent="0.35">
      <c r="B91" s="43">
        <v>9</v>
      </c>
      <c r="C91" s="41" t="s">
        <v>27</v>
      </c>
      <c r="D91" s="27">
        <v>670473.02</v>
      </c>
      <c r="E91" s="27">
        <v>0</v>
      </c>
      <c r="F91" s="65">
        <f t="shared" si="4"/>
        <v>670473.02</v>
      </c>
      <c r="G91" s="85">
        <f t="shared" ref="G91:G108" si="5">+G90+F91</f>
        <v>2140056.02</v>
      </c>
      <c r="H91" s="100"/>
      <c r="I91" s="60"/>
      <c r="J91" s="60"/>
    </row>
    <row r="92" spans="1:10" s="3" customFormat="1" ht="14.5" hidden="1" x14ac:dyDescent="0.35">
      <c r="B92" s="43">
        <v>10</v>
      </c>
      <c r="C92" s="41" t="s">
        <v>74</v>
      </c>
      <c r="D92" s="27"/>
      <c r="E92" s="27"/>
      <c r="F92" s="65">
        <f t="shared" si="4"/>
        <v>0</v>
      </c>
      <c r="G92" s="85">
        <f t="shared" si="5"/>
        <v>2140056.02</v>
      </c>
      <c r="H92" s="100"/>
      <c r="I92" s="60"/>
      <c r="J92" s="60"/>
    </row>
    <row r="93" spans="1:10" s="3" customFormat="1" ht="14.5" hidden="1" x14ac:dyDescent="0.35">
      <c r="B93" s="43">
        <v>11</v>
      </c>
      <c r="C93" s="41" t="s">
        <v>75</v>
      </c>
      <c r="D93" s="27"/>
      <c r="E93" s="27"/>
      <c r="F93" s="65">
        <f t="shared" si="4"/>
        <v>0</v>
      </c>
      <c r="G93" s="85">
        <f t="shared" si="5"/>
        <v>2140056.02</v>
      </c>
      <c r="H93" s="100"/>
      <c r="I93" s="60"/>
      <c r="J93" s="60"/>
    </row>
    <row r="94" spans="1:10" s="3" customFormat="1" ht="14.5" hidden="1" x14ac:dyDescent="0.35">
      <c r="B94" s="43">
        <v>12</v>
      </c>
      <c r="C94" s="41" t="s">
        <v>76</v>
      </c>
      <c r="D94" s="27"/>
      <c r="E94" s="27"/>
      <c r="F94" s="65">
        <f t="shared" si="4"/>
        <v>0</v>
      </c>
      <c r="G94" s="85">
        <f t="shared" si="5"/>
        <v>2140056.02</v>
      </c>
      <c r="H94" s="100"/>
      <c r="I94" s="60"/>
      <c r="J94" s="60"/>
    </row>
    <row r="95" spans="1:10" s="3" customFormat="1" ht="14.5" hidden="1" x14ac:dyDescent="0.35">
      <c r="B95" s="43">
        <v>13</v>
      </c>
      <c r="C95" s="41" t="s">
        <v>77</v>
      </c>
      <c r="D95" s="27"/>
      <c r="E95" s="27"/>
      <c r="F95" s="65">
        <f t="shared" si="4"/>
        <v>0</v>
      </c>
      <c r="G95" s="85">
        <f t="shared" si="5"/>
        <v>2140056.02</v>
      </c>
      <c r="H95" s="100"/>
      <c r="I95" s="60"/>
      <c r="J95" s="60"/>
    </row>
    <row r="96" spans="1:10" s="3" customFormat="1" ht="14.5" hidden="1" x14ac:dyDescent="0.35">
      <c r="B96" s="43">
        <v>14</v>
      </c>
      <c r="C96" s="104" t="s">
        <v>78</v>
      </c>
      <c r="D96" s="27"/>
      <c r="E96" s="27"/>
      <c r="F96" s="65">
        <f t="shared" si="4"/>
        <v>0</v>
      </c>
      <c r="G96" s="85">
        <f t="shared" si="5"/>
        <v>2140056.02</v>
      </c>
      <c r="H96" s="100"/>
      <c r="I96" s="60"/>
      <c r="J96" s="60"/>
    </row>
    <row r="97" spans="1:10" s="3" customFormat="1" ht="14.5" hidden="1" x14ac:dyDescent="0.35">
      <c r="B97" s="43">
        <v>15</v>
      </c>
      <c r="C97" s="41" t="s">
        <v>79</v>
      </c>
      <c r="D97" s="27"/>
      <c r="E97" s="27"/>
      <c r="F97" s="65">
        <f t="shared" si="4"/>
        <v>0</v>
      </c>
      <c r="G97" s="85">
        <f t="shared" si="5"/>
        <v>2140056.02</v>
      </c>
      <c r="H97" s="100"/>
      <c r="I97" s="60"/>
      <c r="J97" s="60"/>
    </row>
    <row r="98" spans="1:10" s="3" customFormat="1" ht="14.5" hidden="1" x14ac:dyDescent="0.35">
      <c r="B98" s="43">
        <v>16</v>
      </c>
      <c r="C98" s="41" t="s">
        <v>80</v>
      </c>
      <c r="D98" s="27"/>
      <c r="E98" s="27"/>
      <c r="F98" s="65">
        <f t="shared" si="4"/>
        <v>0</v>
      </c>
      <c r="G98" s="85">
        <f t="shared" si="5"/>
        <v>2140056.02</v>
      </c>
      <c r="H98" s="100"/>
      <c r="I98" s="60"/>
      <c r="J98" s="60"/>
    </row>
    <row r="99" spans="1:10" s="3" customFormat="1" ht="14.5" hidden="1" x14ac:dyDescent="0.35">
      <c r="B99" s="43">
        <v>17</v>
      </c>
      <c r="C99" s="41" t="s">
        <v>81</v>
      </c>
      <c r="D99" s="27"/>
      <c r="E99" s="27"/>
      <c r="F99" s="65">
        <f t="shared" si="4"/>
        <v>0</v>
      </c>
      <c r="G99" s="85">
        <f t="shared" si="5"/>
        <v>2140056.02</v>
      </c>
      <c r="H99" s="100"/>
      <c r="I99" s="60"/>
      <c r="J99" s="60"/>
    </row>
    <row r="100" spans="1:10" s="3" customFormat="1" ht="14.5" hidden="1" x14ac:dyDescent="0.35">
      <c r="B100" s="43">
        <v>18</v>
      </c>
      <c r="C100" s="41" t="s">
        <v>82</v>
      </c>
      <c r="D100" s="27"/>
      <c r="E100" s="27"/>
      <c r="F100" s="65">
        <f t="shared" si="4"/>
        <v>0</v>
      </c>
      <c r="G100" s="85">
        <f t="shared" si="5"/>
        <v>2140056.02</v>
      </c>
      <c r="H100" s="100"/>
      <c r="I100" s="60"/>
      <c r="J100" s="60"/>
    </row>
    <row r="101" spans="1:10" s="3" customFormat="1" ht="14.5" hidden="1" x14ac:dyDescent="0.35">
      <c r="B101" s="43">
        <v>19</v>
      </c>
      <c r="C101" s="41" t="s">
        <v>83</v>
      </c>
      <c r="D101" s="27"/>
      <c r="E101" s="27"/>
      <c r="F101" s="65">
        <f t="shared" si="4"/>
        <v>0</v>
      </c>
      <c r="G101" s="85">
        <f t="shared" si="5"/>
        <v>2140056.02</v>
      </c>
      <c r="H101" s="100"/>
      <c r="I101" s="60"/>
      <c r="J101" s="60"/>
    </row>
    <row r="102" spans="1:10" s="3" customFormat="1" ht="14.5" hidden="1" x14ac:dyDescent="0.35">
      <c r="B102" s="43">
        <v>20</v>
      </c>
      <c r="C102" s="41" t="s">
        <v>84</v>
      </c>
      <c r="D102" s="27"/>
      <c r="E102" s="27"/>
      <c r="F102" s="65">
        <f t="shared" si="4"/>
        <v>0</v>
      </c>
      <c r="G102" s="85">
        <f t="shared" si="5"/>
        <v>2140056.02</v>
      </c>
      <c r="H102" s="100"/>
      <c r="I102" s="60"/>
      <c r="J102" s="60"/>
    </row>
    <row r="103" spans="1:10" s="3" customFormat="1" ht="14.5" hidden="1" x14ac:dyDescent="0.35">
      <c r="B103" s="43">
        <v>21</v>
      </c>
      <c r="C103" s="41" t="s">
        <v>85</v>
      </c>
      <c r="D103" s="27"/>
      <c r="E103" s="27"/>
      <c r="F103" s="65">
        <f t="shared" si="4"/>
        <v>0</v>
      </c>
      <c r="G103" s="85">
        <f t="shared" si="5"/>
        <v>2140056.02</v>
      </c>
      <c r="H103" s="100"/>
      <c r="I103" s="60"/>
      <c r="J103" s="60"/>
    </row>
    <row r="104" spans="1:10" s="3" customFormat="1" ht="14.5" hidden="1" x14ac:dyDescent="0.35">
      <c r="B104" s="43">
        <v>22</v>
      </c>
      <c r="C104" s="41" t="s">
        <v>86</v>
      </c>
      <c r="D104" s="27"/>
      <c r="E104" s="27"/>
      <c r="F104" s="65">
        <f t="shared" si="4"/>
        <v>0</v>
      </c>
      <c r="G104" s="85">
        <f t="shared" si="5"/>
        <v>2140056.02</v>
      </c>
      <c r="H104" s="100"/>
      <c r="I104" s="60"/>
      <c r="J104" s="60"/>
    </row>
    <row r="105" spans="1:10" s="3" customFormat="1" ht="14.5" hidden="1" x14ac:dyDescent="0.35">
      <c r="B105" s="43">
        <v>23</v>
      </c>
      <c r="C105" s="41" t="s">
        <v>87</v>
      </c>
      <c r="D105" s="27"/>
      <c r="E105" s="27"/>
      <c r="F105" s="65">
        <f t="shared" si="4"/>
        <v>0</v>
      </c>
      <c r="G105" s="85">
        <f t="shared" si="5"/>
        <v>2140056.02</v>
      </c>
      <c r="H105" s="100"/>
      <c r="I105" s="60"/>
      <c r="J105" s="60"/>
    </row>
    <row r="106" spans="1:10" s="3" customFormat="1" ht="14.5" hidden="1" x14ac:dyDescent="0.35">
      <c r="B106" s="43">
        <v>24</v>
      </c>
      <c r="C106" s="41" t="s">
        <v>88</v>
      </c>
      <c r="D106" s="27"/>
      <c r="E106" s="27"/>
      <c r="F106" s="65">
        <f t="shared" si="4"/>
        <v>0</v>
      </c>
      <c r="G106" s="85">
        <f t="shared" si="5"/>
        <v>2140056.02</v>
      </c>
      <c r="H106" s="100"/>
      <c r="I106" s="60"/>
      <c r="J106" s="60"/>
    </row>
    <row r="107" spans="1:10" s="3" customFormat="1" ht="14.5" hidden="1" x14ac:dyDescent="0.35">
      <c r="B107" s="43">
        <v>25</v>
      </c>
      <c r="C107" s="105" t="s">
        <v>89</v>
      </c>
      <c r="D107" s="27"/>
      <c r="E107" s="27"/>
      <c r="F107" s="65">
        <f t="shared" si="4"/>
        <v>0</v>
      </c>
      <c r="G107" s="85">
        <f t="shared" si="5"/>
        <v>2140056.02</v>
      </c>
      <c r="H107" s="100"/>
      <c r="I107" s="60"/>
      <c r="J107" s="60"/>
    </row>
    <row r="108" spans="1:10" s="3" customFormat="1" ht="14.5" hidden="1" x14ac:dyDescent="0.35">
      <c r="B108" s="43">
        <v>26</v>
      </c>
      <c r="C108" s="105" t="s">
        <v>90</v>
      </c>
      <c r="D108" s="34"/>
      <c r="E108" s="34"/>
      <c r="F108" s="94">
        <f t="shared" si="4"/>
        <v>0</v>
      </c>
      <c r="G108" s="106">
        <f t="shared" si="5"/>
        <v>2140056.02</v>
      </c>
      <c r="H108" s="100"/>
      <c r="I108" s="60"/>
      <c r="J108" s="60"/>
    </row>
    <row r="109" spans="1:10" ht="14.5" x14ac:dyDescent="0.35">
      <c r="A109" s="3"/>
      <c r="B109" s="5" t="s">
        <v>63</v>
      </c>
      <c r="C109" s="47" t="s">
        <v>63</v>
      </c>
      <c r="D109" s="86" t="s">
        <v>63</v>
      </c>
      <c r="E109" s="86" t="s">
        <v>63</v>
      </c>
      <c r="F109" s="86" t="s">
        <v>63</v>
      </c>
      <c r="G109" s="86" t="s">
        <v>63</v>
      </c>
      <c r="H109" s="6" t="s">
        <v>63</v>
      </c>
      <c r="I109" s="3"/>
    </row>
    <row r="110" spans="1:10" ht="14.5" x14ac:dyDescent="0.35">
      <c r="A110" s="3"/>
      <c r="B110" s="8" t="s">
        <v>44</v>
      </c>
      <c r="C110" s="58"/>
      <c r="D110" s="86" t="s">
        <v>63</v>
      </c>
      <c r="E110" s="86" t="s">
        <v>63</v>
      </c>
      <c r="F110" s="86" t="s">
        <v>63</v>
      </c>
      <c r="G110" s="86" t="s">
        <v>63</v>
      </c>
      <c r="H110" s="6" t="s">
        <v>63</v>
      </c>
      <c r="I110" s="3"/>
    </row>
    <row r="111" spans="1:10" ht="14.5" x14ac:dyDescent="0.35">
      <c r="A111" s="3"/>
      <c r="B111" s="9" t="s">
        <v>45</v>
      </c>
      <c r="C111" s="5"/>
      <c r="D111" s="6"/>
      <c r="E111" s="6"/>
      <c r="F111" s="87"/>
      <c r="G111" s="87"/>
      <c r="H111" s="101"/>
      <c r="I111" s="3"/>
    </row>
    <row r="112" spans="1:10" ht="14.5" x14ac:dyDescent="0.35">
      <c r="A112" s="3"/>
      <c r="B112" s="9" t="s">
        <v>46</v>
      </c>
      <c r="C112" s="5"/>
      <c r="D112" s="6"/>
      <c r="E112" s="6"/>
      <c r="F112" s="87"/>
      <c r="G112" s="86" t="s">
        <v>63</v>
      </c>
      <c r="H112" s="6" t="s">
        <v>63</v>
      </c>
      <c r="I112" s="3"/>
    </row>
    <row r="113" spans="1:10" ht="14.5" x14ac:dyDescent="0.35">
      <c r="A113" s="3"/>
      <c r="B113" s="9" t="s">
        <v>47</v>
      </c>
      <c r="C113" s="5"/>
      <c r="D113" s="6"/>
      <c r="E113" s="6"/>
      <c r="F113" s="86" t="s">
        <v>63</v>
      </c>
      <c r="G113" s="86" t="s">
        <v>63</v>
      </c>
      <c r="H113" s="6" t="s">
        <v>63</v>
      </c>
      <c r="I113" s="3"/>
    </row>
    <row r="114" spans="1:10" ht="14.5" x14ac:dyDescent="0.35">
      <c r="A114" s="3"/>
      <c r="B114" s="3"/>
      <c r="C114" s="46"/>
      <c r="D114" s="79"/>
      <c r="E114" s="79"/>
      <c r="F114" s="79"/>
      <c r="G114" s="79"/>
      <c r="H114" s="42"/>
      <c r="I114" s="3"/>
    </row>
    <row r="115" spans="1:10" ht="14.5" x14ac:dyDescent="0.35">
      <c r="A115" s="3"/>
      <c r="B115" s="3"/>
      <c r="C115" s="46"/>
      <c r="D115" s="79"/>
      <c r="E115" s="79"/>
      <c r="F115" s="79"/>
      <c r="G115" s="79"/>
      <c r="H115" s="42"/>
      <c r="I115" s="3"/>
    </row>
    <row r="116" spans="1:10" ht="18.5" x14ac:dyDescent="0.45">
      <c r="A116" s="3"/>
      <c r="C116" s="48"/>
      <c r="D116" s="174" t="s">
        <v>52</v>
      </c>
      <c r="E116" s="174"/>
      <c r="F116" s="174"/>
      <c r="G116" s="174"/>
      <c r="H116" s="174"/>
      <c r="I116" s="3"/>
    </row>
    <row r="117" spans="1:10" ht="16" x14ac:dyDescent="0.4">
      <c r="A117" s="38"/>
      <c r="B117" s="28" t="s">
        <v>63</v>
      </c>
      <c r="C117" s="59" t="s">
        <v>63</v>
      </c>
      <c r="D117" s="175" t="s">
        <v>64</v>
      </c>
      <c r="E117" s="175"/>
      <c r="F117" s="175"/>
      <c r="G117" s="175"/>
      <c r="H117" s="175"/>
      <c r="I117" s="38"/>
    </row>
    <row r="118" spans="1:10" ht="15.9" customHeight="1" x14ac:dyDescent="0.4">
      <c r="A118" s="3"/>
      <c r="B118" s="124" t="s">
        <v>73</v>
      </c>
      <c r="C118" s="124"/>
      <c r="D118" s="124"/>
      <c r="E118" s="124"/>
      <c r="F118" s="124"/>
      <c r="G118" s="124"/>
      <c r="H118" s="124"/>
      <c r="I118" s="3"/>
    </row>
    <row r="119" spans="1:10" ht="14.5" x14ac:dyDescent="0.35">
      <c r="A119" s="3"/>
      <c r="B119" s="15"/>
      <c r="C119" s="16"/>
      <c r="D119" s="114" t="s">
        <v>7</v>
      </c>
      <c r="E119" s="115"/>
      <c r="F119" s="115"/>
      <c r="G119" s="176"/>
      <c r="H119" s="177" t="s">
        <v>63</v>
      </c>
      <c r="I119" s="3"/>
    </row>
    <row r="120" spans="1:10" ht="14.5" x14ac:dyDescent="0.35">
      <c r="A120" s="3"/>
      <c r="B120" s="13"/>
      <c r="C120" s="14"/>
      <c r="D120" s="121" t="s">
        <v>10</v>
      </c>
      <c r="E120" s="122"/>
      <c r="F120" s="122"/>
      <c r="G120" s="178"/>
      <c r="H120" s="177"/>
      <c r="I120" s="3"/>
    </row>
    <row r="121" spans="1:10" ht="14.5" x14ac:dyDescent="0.35">
      <c r="A121" s="3"/>
      <c r="B121" s="128" t="s">
        <v>11</v>
      </c>
      <c r="C121" s="130" t="s">
        <v>12</v>
      </c>
      <c r="D121" s="80" t="s">
        <v>13</v>
      </c>
      <c r="E121" s="80" t="s">
        <v>14</v>
      </c>
      <c r="F121" s="80" t="s">
        <v>15</v>
      </c>
      <c r="G121" s="81" t="s">
        <v>16</v>
      </c>
      <c r="H121" s="172" t="s">
        <v>63</v>
      </c>
      <c r="I121" s="3"/>
    </row>
    <row r="122" spans="1:10" ht="14.5" x14ac:dyDescent="0.35">
      <c r="A122" s="3"/>
      <c r="B122" s="129"/>
      <c r="C122" s="131"/>
      <c r="D122" s="141" t="s">
        <v>21</v>
      </c>
      <c r="E122" s="142"/>
      <c r="F122" s="142"/>
      <c r="G122" s="173"/>
      <c r="H122" s="172"/>
      <c r="I122" s="3"/>
    </row>
    <row r="123" spans="1:10" ht="14.5" x14ac:dyDescent="0.35">
      <c r="A123" s="3"/>
      <c r="B123" s="43">
        <v>4</v>
      </c>
      <c r="C123" s="56" t="s">
        <v>22</v>
      </c>
      <c r="D123" s="82">
        <v>50751</v>
      </c>
      <c r="E123" s="22">
        <v>0</v>
      </c>
      <c r="F123" s="83">
        <f>+D123</f>
        <v>50751</v>
      </c>
      <c r="G123" s="84">
        <f>+F123</f>
        <v>50751</v>
      </c>
      <c r="H123" s="100" t="s">
        <v>63</v>
      </c>
      <c r="I123" s="3"/>
    </row>
    <row r="124" spans="1:10" ht="14.5" x14ac:dyDescent="0.35">
      <c r="A124" s="3"/>
      <c r="B124" s="50">
        <v>5</v>
      </c>
      <c r="C124" s="57" t="s">
        <v>23</v>
      </c>
      <c r="D124" s="82">
        <v>15303.5</v>
      </c>
      <c r="E124" s="27">
        <v>0</v>
      </c>
      <c r="F124" s="83">
        <f>+D124</f>
        <v>15303.5</v>
      </c>
      <c r="G124" s="84">
        <f>+G123+F124</f>
        <v>66054.5</v>
      </c>
      <c r="H124" s="100" t="s">
        <v>63</v>
      </c>
      <c r="I124" s="3"/>
    </row>
    <row r="125" spans="1:10" ht="14.5" x14ac:dyDescent="0.35">
      <c r="A125" s="3"/>
      <c r="B125" s="50">
        <v>6</v>
      </c>
      <c r="C125" s="57" t="s">
        <v>24</v>
      </c>
      <c r="D125" s="82">
        <v>60629.5</v>
      </c>
      <c r="E125" s="27">
        <v>0</v>
      </c>
      <c r="F125" s="83">
        <f>+D125</f>
        <v>60629.5</v>
      </c>
      <c r="G125" s="84">
        <f>+G124+F125</f>
        <v>126684</v>
      </c>
      <c r="H125" s="100" t="s">
        <v>63</v>
      </c>
      <c r="I125" s="3"/>
    </row>
    <row r="126" spans="1:10" ht="14.5" x14ac:dyDescent="0.35">
      <c r="A126" s="3"/>
      <c r="B126" s="50">
        <v>7</v>
      </c>
      <c r="C126" s="57" t="s">
        <v>25</v>
      </c>
      <c r="D126" s="22">
        <v>0</v>
      </c>
      <c r="E126" s="27">
        <v>0</v>
      </c>
      <c r="F126" s="22">
        <v>0</v>
      </c>
      <c r="G126" s="84">
        <f>+G125+F126</f>
        <v>126684</v>
      </c>
      <c r="H126" s="100" t="s">
        <v>63</v>
      </c>
      <c r="I126" s="3"/>
    </row>
    <row r="127" spans="1:10" s="3" customFormat="1" ht="14.5" x14ac:dyDescent="0.35">
      <c r="B127" s="43">
        <v>8</v>
      </c>
      <c r="C127" s="41" t="s">
        <v>26</v>
      </c>
      <c r="D127" s="27">
        <v>23483.5</v>
      </c>
      <c r="E127" s="27">
        <v>0</v>
      </c>
      <c r="F127" s="65">
        <f t="shared" ref="F127:F145" si="6">+E127+D127</f>
        <v>23483.5</v>
      </c>
      <c r="G127" s="85">
        <f>+G126+F127</f>
        <v>150167.5</v>
      </c>
      <c r="H127" s="100"/>
      <c r="I127" s="10"/>
    </row>
    <row r="128" spans="1:10" s="3" customFormat="1" ht="14.5" x14ac:dyDescent="0.35">
      <c r="B128" s="43">
        <v>9</v>
      </c>
      <c r="C128" s="41" t="s">
        <v>27</v>
      </c>
      <c r="D128" s="27">
        <v>7788.5</v>
      </c>
      <c r="E128" s="27">
        <v>0</v>
      </c>
      <c r="F128" s="65">
        <f t="shared" si="6"/>
        <v>7788.5</v>
      </c>
      <c r="G128" s="85">
        <f t="shared" ref="G128:G145" si="7">+G127+F128</f>
        <v>157956</v>
      </c>
      <c r="H128" s="100"/>
      <c r="I128" s="60"/>
      <c r="J128" s="60"/>
    </row>
    <row r="129" spans="2:10" s="3" customFormat="1" ht="14.5" hidden="1" x14ac:dyDescent="0.35">
      <c r="B129" s="43">
        <v>10</v>
      </c>
      <c r="C129" s="41" t="s">
        <v>74</v>
      </c>
      <c r="D129" s="27"/>
      <c r="E129" s="27"/>
      <c r="F129" s="65">
        <f t="shared" si="6"/>
        <v>0</v>
      </c>
      <c r="G129" s="85">
        <f t="shared" si="7"/>
        <v>157956</v>
      </c>
      <c r="H129" s="100"/>
      <c r="I129" s="60"/>
      <c r="J129" s="60"/>
    </row>
    <row r="130" spans="2:10" s="3" customFormat="1" ht="14.5" hidden="1" x14ac:dyDescent="0.35">
      <c r="B130" s="43">
        <v>11</v>
      </c>
      <c r="C130" s="41" t="s">
        <v>75</v>
      </c>
      <c r="D130" s="27"/>
      <c r="E130" s="27"/>
      <c r="F130" s="65">
        <f t="shared" si="6"/>
        <v>0</v>
      </c>
      <c r="G130" s="85">
        <f t="shared" si="7"/>
        <v>157956</v>
      </c>
      <c r="H130" s="100"/>
      <c r="I130" s="60"/>
      <c r="J130" s="60"/>
    </row>
    <row r="131" spans="2:10" s="3" customFormat="1" ht="14.5" hidden="1" x14ac:dyDescent="0.35">
      <c r="B131" s="43">
        <v>12</v>
      </c>
      <c r="C131" s="41" t="s">
        <v>76</v>
      </c>
      <c r="D131" s="27"/>
      <c r="E131" s="27"/>
      <c r="F131" s="65">
        <f t="shared" si="6"/>
        <v>0</v>
      </c>
      <c r="G131" s="85">
        <f t="shared" si="7"/>
        <v>157956</v>
      </c>
      <c r="H131" s="100"/>
      <c r="I131" s="60"/>
      <c r="J131" s="60"/>
    </row>
    <row r="132" spans="2:10" s="3" customFormat="1" ht="14.5" hidden="1" x14ac:dyDescent="0.35">
      <c r="B132" s="43">
        <v>13</v>
      </c>
      <c r="C132" s="41" t="s">
        <v>77</v>
      </c>
      <c r="D132" s="27"/>
      <c r="E132" s="27"/>
      <c r="F132" s="65">
        <f t="shared" si="6"/>
        <v>0</v>
      </c>
      <c r="G132" s="85">
        <f t="shared" si="7"/>
        <v>157956</v>
      </c>
      <c r="H132" s="100"/>
      <c r="I132" s="60"/>
      <c r="J132" s="60"/>
    </row>
    <row r="133" spans="2:10" s="3" customFormat="1" ht="14.5" hidden="1" x14ac:dyDescent="0.35">
      <c r="B133" s="43">
        <v>14</v>
      </c>
      <c r="C133" s="104" t="s">
        <v>78</v>
      </c>
      <c r="D133" s="27"/>
      <c r="E133" s="27"/>
      <c r="F133" s="65">
        <f t="shared" si="6"/>
        <v>0</v>
      </c>
      <c r="G133" s="85">
        <f t="shared" si="7"/>
        <v>157956</v>
      </c>
      <c r="H133" s="100"/>
      <c r="I133" s="60"/>
      <c r="J133" s="60"/>
    </row>
    <row r="134" spans="2:10" s="3" customFormat="1" ht="14.5" hidden="1" x14ac:dyDescent="0.35">
      <c r="B134" s="43">
        <v>15</v>
      </c>
      <c r="C134" s="41" t="s">
        <v>79</v>
      </c>
      <c r="D134" s="27"/>
      <c r="E134" s="27"/>
      <c r="F134" s="65">
        <f t="shared" si="6"/>
        <v>0</v>
      </c>
      <c r="G134" s="85">
        <f t="shared" si="7"/>
        <v>157956</v>
      </c>
      <c r="H134" s="100"/>
      <c r="I134" s="60"/>
      <c r="J134" s="60"/>
    </row>
    <row r="135" spans="2:10" s="3" customFormat="1" ht="14.5" hidden="1" x14ac:dyDescent="0.35">
      <c r="B135" s="43">
        <v>16</v>
      </c>
      <c r="C135" s="41" t="s">
        <v>80</v>
      </c>
      <c r="D135" s="27"/>
      <c r="E135" s="27"/>
      <c r="F135" s="65">
        <f t="shared" si="6"/>
        <v>0</v>
      </c>
      <c r="G135" s="85">
        <f t="shared" si="7"/>
        <v>157956</v>
      </c>
      <c r="H135" s="100"/>
      <c r="I135" s="60"/>
      <c r="J135" s="60"/>
    </row>
    <row r="136" spans="2:10" s="3" customFormat="1" ht="14.5" hidden="1" x14ac:dyDescent="0.35">
      <c r="B136" s="43">
        <v>17</v>
      </c>
      <c r="C136" s="41" t="s">
        <v>81</v>
      </c>
      <c r="D136" s="27"/>
      <c r="E136" s="27"/>
      <c r="F136" s="65">
        <f t="shared" si="6"/>
        <v>0</v>
      </c>
      <c r="G136" s="85">
        <f t="shared" si="7"/>
        <v>157956</v>
      </c>
      <c r="H136" s="100"/>
      <c r="I136" s="60"/>
      <c r="J136" s="60"/>
    </row>
    <row r="137" spans="2:10" s="3" customFormat="1" ht="14.5" hidden="1" x14ac:dyDescent="0.35">
      <c r="B137" s="43">
        <v>18</v>
      </c>
      <c r="C137" s="41" t="s">
        <v>82</v>
      </c>
      <c r="D137" s="27"/>
      <c r="E137" s="27"/>
      <c r="F137" s="65">
        <f t="shared" si="6"/>
        <v>0</v>
      </c>
      <c r="G137" s="85">
        <f t="shared" si="7"/>
        <v>157956</v>
      </c>
      <c r="H137" s="100"/>
      <c r="I137" s="60"/>
      <c r="J137" s="60"/>
    </row>
    <row r="138" spans="2:10" s="3" customFormat="1" ht="14.5" hidden="1" x14ac:dyDescent="0.35">
      <c r="B138" s="43">
        <v>19</v>
      </c>
      <c r="C138" s="41" t="s">
        <v>83</v>
      </c>
      <c r="D138" s="27"/>
      <c r="E138" s="27"/>
      <c r="F138" s="65">
        <f t="shared" si="6"/>
        <v>0</v>
      </c>
      <c r="G138" s="85">
        <f t="shared" si="7"/>
        <v>157956</v>
      </c>
      <c r="H138" s="100"/>
      <c r="I138" s="60"/>
      <c r="J138" s="60"/>
    </row>
    <row r="139" spans="2:10" s="3" customFormat="1" ht="14.5" hidden="1" x14ac:dyDescent="0.35">
      <c r="B139" s="43">
        <v>20</v>
      </c>
      <c r="C139" s="41" t="s">
        <v>84</v>
      </c>
      <c r="D139" s="27"/>
      <c r="E139" s="27"/>
      <c r="F139" s="65">
        <f t="shared" si="6"/>
        <v>0</v>
      </c>
      <c r="G139" s="85">
        <f t="shared" si="7"/>
        <v>157956</v>
      </c>
      <c r="H139" s="100"/>
      <c r="I139" s="60"/>
      <c r="J139" s="60"/>
    </row>
    <row r="140" spans="2:10" s="3" customFormat="1" ht="14.5" hidden="1" x14ac:dyDescent="0.35">
      <c r="B140" s="43">
        <v>21</v>
      </c>
      <c r="C140" s="41" t="s">
        <v>85</v>
      </c>
      <c r="D140" s="27"/>
      <c r="E140" s="27"/>
      <c r="F140" s="65">
        <f t="shared" si="6"/>
        <v>0</v>
      </c>
      <c r="G140" s="85">
        <f t="shared" si="7"/>
        <v>157956</v>
      </c>
      <c r="H140" s="100"/>
      <c r="I140" s="60"/>
      <c r="J140" s="60"/>
    </row>
    <row r="141" spans="2:10" s="3" customFormat="1" ht="14.5" hidden="1" x14ac:dyDescent="0.35">
      <c r="B141" s="43">
        <v>22</v>
      </c>
      <c r="C141" s="41" t="s">
        <v>86</v>
      </c>
      <c r="D141" s="27"/>
      <c r="E141" s="27"/>
      <c r="F141" s="65">
        <f t="shared" si="6"/>
        <v>0</v>
      </c>
      <c r="G141" s="85">
        <f t="shared" si="7"/>
        <v>157956</v>
      </c>
      <c r="H141" s="100"/>
      <c r="I141" s="60"/>
      <c r="J141" s="60"/>
    </row>
    <row r="142" spans="2:10" s="3" customFormat="1" ht="14.5" hidden="1" x14ac:dyDescent="0.35">
      <c r="B142" s="43">
        <v>23</v>
      </c>
      <c r="C142" s="41" t="s">
        <v>87</v>
      </c>
      <c r="D142" s="27"/>
      <c r="E142" s="27"/>
      <c r="F142" s="65">
        <f t="shared" si="6"/>
        <v>0</v>
      </c>
      <c r="G142" s="85">
        <f t="shared" si="7"/>
        <v>157956</v>
      </c>
      <c r="H142" s="100"/>
      <c r="I142" s="60"/>
      <c r="J142" s="60"/>
    </row>
    <row r="143" spans="2:10" s="3" customFormat="1" ht="14.5" hidden="1" x14ac:dyDescent="0.35">
      <c r="B143" s="43">
        <v>24</v>
      </c>
      <c r="C143" s="41" t="s">
        <v>88</v>
      </c>
      <c r="D143" s="27"/>
      <c r="E143" s="27"/>
      <c r="F143" s="65">
        <f t="shared" si="6"/>
        <v>0</v>
      </c>
      <c r="G143" s="85">
        <f t="shared" si="7"/>
        <v>157956</v>
      </c>
      <c r="H143" s="100"/>
      <c r="I143" s="60"/>
      <c r="J143" s="60"/>
    </row>
    <row r="144" spans="2:10" s="3" customFormat="1" ht="14.5" hidden="1" x14ac:dyDescent="0.35">
      <c r="B144" s="43">
        <v>25</v>
      </c>
      <c r="C144" s="105" t="s">
        <v>89</v>
      </c>
      <c r="D144" s="27"/>
      <c r="E144" s="27"/>
      <c r="F144" s="65">
        <f t="shared" si="6"/>
        <v>0</v>
      </c>
      <c r="G144" s="85">
        <f t="shared" si="7"/>
        <v>157956</v>
      </c>
      <c r="H144" s="100"/>
      <c r="I144" s="60"/>
      <c r="J144" s="60"/>
    </row>
    <row r="145" spans="1:10" s="3" customFormat="1" ht="14.5" hidden="1" x14ac:dyDescent="0.35">
      <c r="B145" s="43">
        <v>26</v>
      </c>
      <c r="C145" s="105" t="s">
        <v>90</v>
      </c>
      <c r="D145" s="34"/>
      <c r="E145" s="34"/>
      <c r="F145" s="94">
        <f t="shared" si="6"/>
        <v>0</v>
      </c>
      <c r="G145" s="106">
        <f t="shared" si="7"/>
        <v>157956</v>
      </c>
      <c r="H145" s="100"/>
      <c r="I145" s="60"/>
      <c r="J145" s="60"/>
    </row>
    <row r="146" spans="1:10" ht="14.5" x14ac:dyDescent="0.35">
      <c r="A146" s="3"/>
      <c r="B146" s="5" t="s">
        <v>63</v>
      </c>
      <c r="C146" s="47" t="s">
        <v>63</v>
      </c>
      <c r="D146" s="86" t="s">
        <v>63</v>
      </c>
      <c r="E146" s="86" t="s">
        <v>63</v>
      </c>
      <c r="F146" s="86" t="s">
        <v>63</v>
      </c>
      <c r="G146" s="86" t="s">
        <v>63</v>
      </c>
      <c r="H146" s="6" t="s">
        <v>63</v>
      </c>
      <c r="I146" s="3"/>
    </row>
    <row r="147" spans="1:10" ht="14.5" x14ac:dyDescent="0.35">
      <c r="A147" s="3"/>
      <c r="B147" s="8" t="s">
        <v>44</v>
      </c>
      <c r="C147" s="58"/>
      <c r="D147" s="86" t="s">
        <v>63</v>
      </c>
      <c r="E147" s="86" t="s">
        <v>63</v>
      </c>
      <c r="F147" s="86" t="s">
        <v>63</v>
      </c>
      <c r="G147" s="86" t="s">
        <v>63</v>
      </c>
      <c r="H147" s="6" t="s">
        <v>63</v>
      </c>
      <c r="I147" s="3"/>
    </row>
    <row r="148" spans="1:10" ht="14.5" x14ac:dyDescent="0.35">
      <c r="A148" s="3"/>
      <c r="B148" s="9" t="s">
        <v>45</v>
      </c>
      <c r="C148" s="5"/>
      <c r="D148" s="6"/>
      <c r="E148" s="6"/>
      <c r="F148" s="87"/>
      <c r="G148" s="87"/>
      <c r="H148" s="101"/>
      <c r="I148" s="3"/>
    </row>
    <row r="149" spans="1:10" ht="14.5" x14ac:dyDescent="0.35">
      <c r="A149" s="3"/>
      <c r="B149" s="9" t="s">
        <v>46</v>
      </c>
      <c r="C149" s="5"/>
      <c r="D149" s="6"/>
      <c r="E149" s="6"/>
      <c r="F149" s="87"/>
      <c r="G149" s="86" t="s">
        <v>63</v>
      </c>
      <c r="H149" s="6" t="s">
        <v>63</v>
      </c>
      <c r="I149" s="3"/>
    </row>
    <row r="150" spans="1:10" ht="14.5" x14ac:dyDescent="0.35">
      <c r="A150" s="3"/>
      <c r="B150" s="9" t="s">
        <v>47</v>
      </c>
      <c r="C150" s="5"/>
      <c r="D150" s="6"/>
      <c r="E150" s="6"/>
      <c r="F150" s="86" t="s">
        <v>63</v>
      </c>
      <c r="G150" s="86" t="s">
        <v>63</v>
      </c>
      <c r="H150" s="6" t="s">
        <v>63</v>
      </c>
      <c r="I150" s="3"/>
    </row>
    <row r="151" spans="1:10" ht="14.5" x14ac:dyDescent="0.35">
      <c r="A151" s="3"/>
      <c r="B151" s="3"/>
      <c r="C151" s="46"/>
      <c r="D151" s="79"/>
      <c r="E151" s="79"/>
      <c r="F151" s="79"/>
      <c r="G151" s="79"/>
      <c r="H151" s="42"/>
      <c r="I151" s="3"/>
    </row>
    <row r="152" spans="1:10" ht="14.5" x14ac:dyDescent="0.35">
      <c r="A152" s="3"/>
      <c r="B152" s="44" t="s">
        <v>65</v>
      </c>
      <c r="C152" s="45"/>
      <c r="D152" s="78"/>
      <c r="E152" s="78"/>
      <c r="F152" s="78"/>
      <c r="G152" s="78"/>
      <c r="H152" s="99"/>
      <c r="I152" s="3"/>
    </row>
    <row r="153" spans="1:10" ht="14.5" x14ac:dyDescent="0.35">
      <c r="A153" s="3"/>
      <c r="B153" s="44" t="s">
        <v>62</v>
      </c>
      <c r="C153" s="45"/>
      <c r="D153" s="78"/>
      <c r="E153" s="78" t="s">
        <v>63</v>
      </c>
      <c r="F153" s="78" t="s">
        <v>63</v>
      </c>
      <c r="G153" s="78" t="s">
        <v>63</v>
      </c>
      <c r="H153" s="99" t="s">
        <v>63</v>
      </c>
      <c r="I153" s="3"/>
    </row>
    <row r="154" spans="1:10" ht="14.5" x14ac:dyDescent="0.35">
      <c r="A154" s="3"/>
      <c r="B154" s="3"/>
      <c r="C154" s="46"/>
      <c r="D154" s="79"/>
      <c r="E154" s="79"/>
      <c r="F154" s="79"/>
      <c r="G154" s="79"/>
      <c r="H154" s="42"/>
      <c r="I154" s="3"/>
    </row>
    <row r="155" spans="1:10" ht="14.5" x14ac:dyDescent="0.35">
      <c r="A155" s="3"/>
      <c r="B155" s="3"/>
      <c r="C155" s="46"/>
      <c r="D155" s="79"/>
      <c r="E155" s="79"/>
      <c r="F155" s="79"/>
      <c r="G155" s="79"/>
      <c r="H155" s="42"/>
      <c r="I155" s="3"/>
    </row>
    <row r="156" spans="1:10" ht="16.5" customHeight="1" x14ac:dyDescent="0.45">
      <c r="A156" s="35"/>
      <c r="B156" s="36" t="s">
        <v>63</v>
      </c>
      <c r="C156" s="55" t="s">
        <v>63</v>
      </c>
      <c r="D156" s="183" t="s">
        <v>66</v>
      </c>
      <c r="E156" s="183"/>
      <c r="F156" s="183"/>
      <c r="G156" s="183"/>
      <c r="H156" s="183"/>
      <c r="I156" s="2" t="s">
        <v>0</v>
      </c>
    </row>
    <row r="157" spans="1:10" ht="15.9" customHeight="1" x14ac:dyDescent="0.4">
      <c r="A157" s="3"/>
      <c r="B157" s="124" t="s">
        <v>73</v>
      </c>
      <c r="C157" s="124"/>
      <c r="D157" s="124"/>
      <c r="E157" s="124"/>
      <c r="F157" s="124"/>
      <c r="G157" s="124"/>
      <c r="H157" s="124"/>
      <c r="I157" s="2" t="s">
        <v>1</v>
      </c>
    </row>
    <row r="158" spans="1:10" ht="14.5" x14ac:dyDescent="0.35">
      <c r="A158" s="3"/>
      <c r="B158" s="15"/>
      <c r="C158" s="16"/>
      <c r="D158" s="114" t="s">
        <v>7</v>
      </c>
      <c r="E158" s="115"/>
      <c r="F158" s="115"/>
      <c r="G158" s="176"/>
      <c r="H158" s="177" t="s">
        <v>63</v>
      </c>
      <c r="I158" s="2" t="s">
        <v>2</v>
      </c>
    </row>
    <row r="159" spans="1:10" ht="14.5" x14ac:dyDescent="0.35">
      <c r="A159" s="3"/>
      <c r="B159" s="13"/>
      <c r="C159" s="14"/>
      <c r="D159" s="121" t="s">
        <v>10</v>
      </c>
      <c r="E159" s="122"/>
      <c r="F159" s="122"/>
      <c r="G159" s="178"/>
      <c r="H159" s="177"/>
      <c r="I159" s="2" t="s">
        <v>3</v>
      </c>
    </row>
    <row r="160" spans="1:10" ht="14.5" x14ac:dyDescent="0.35">
      <c r="A160" s="3"/>
      <c r="B160" s="128" t="s">
        <v>11</v>
      </c>
      <c r="C160" s="130" t="s">
        <v>12</v>
      </c>
      <c r="D160" s="80" t="s">
        <v>13</v>
      </c>
      <c r="E160" s="80" t="s">
        <v>14</v>
      </c>
      <c r="F160" s="80" t="s">
        <v>15</v>
      </c>
      <c r="G160" s="81" t="s">
        <v>16</v>
      </c>
      <c r="H160" s="172" t="s">
        <v>63</v>
      </c>
      <c r="I160" s="2" t="s">
        <v>4</v>
      </c>
    </row>
    <row r="161" spans="1:11" ht="14.5" x14ac:dyDescent="0.35">
      <c r="A161" s="3"/>
      <c r="B161" s="129"/>
      <c r="C161" s="131"/>
      <c r="D161" s="141" t="s">
        <v>21</v>
      </c>
      <c r="E161" s="142"/>
      <c r="F161" s="142"/>
      <c r="G161" s="173"/>
      <c r="H161" s="172"/>
      <c r="I161" s="3"/>
    </row>
    <row r="162" spans="1:11" ht="14.5" x14ac:dyDescent="0.35">
      <c r="A162" s="3"/>
      <c r="B162" s="43">
        <v>4</v>
      </c>
      <c r="C162" s="56" t="s">
        <v>22</v>
      </c>
      <c r="D162" s="82">
        <v>54998.5</v>
      </c>
      <c r="E162" s="27">
        <v>0</v>
      </c>
      <c r="F162" s="83">
        <f>+E162+D162</f>
        <v>54998.5</v>
      </c>
      <c r="G162" s="84">
        <f>+F162</f>
        <v>54998.5</v>
      </c>
      <c r="H162" s="100" t="s">
        <v>63</v>
      </c>
      <c r="I162" s="3"/>
    </row>
    <row r="163" spans="1:11" ht="14.5" x14ac:dyDescent="0.35">
      <c r="A163" s="3"/>
      <c r="B163" s="50">
        <v>5</v>
      </c>
      <c r="C163" s="57" t="s">
        <v>23</v>
      </c>
      <c r="D163" s="82">
        <v>284978.8</v>
      </c>
      <c r="E163" s="27">
        <v>0</v>
      </c>
      <c r="F163" s="83">
        <f>+E163+D163</f>
        <v>284978.8</v>
      </c>
      <c r="G163" s="84">
        <f>+G162+F163</f>
        <v>339977.3</v>
      </c>
      <c r="H163" s="100" t="s">
        <v>63</v>
      </c>
      <c r="I163" s="3"/>
    </row>
    <row r="164" spans="1:11" ht="14.5" x14ac:dyDescent="0.35">
      <c r="A164" s="3"/>
      <c r="B164" s="50">
        <v>6</v>
      </c>
      <c r="C164" s="57" t="s">
        <v>24</v>
      </c>
      <c r="D164" s="82">
        <v>180407</v>
      </c>
      <c r="E164" s="27">
        <v>0</v>
      </c>
      <c r="F164" s="83">
        <f>+E164+D164</f>
        <v>180407</v>
      </c>
      <c r="G164" s="84">
        <f>+G163+F164</f>
        <v>520384.3</v>
      </c>
      <c r="H164" s="100" t="s">
        <v>63</v>
      </c>
      <c r="I164" s="3"/>
    </row>
    <row r="165" spans="1:11" ht="14.5" x14ac:dyDescent="0.35">
      <c r="A165" s="3"/>
      <c r="B165" s="50">
        <v>7</v>
      </c>
      <c r="C165" s="57" t="s">
        <v>25</v>
      </c>
      <c r="D165" s="82">
        <v>315354.52</v>
      </c>
      <c r="E165" s="27">
        <v>33701</v>
      </c>
      <c r="F165" s="83">
        <f>+E165+D165</f>
        <v>349055.52</v>
      </c>
      <c r="G165" s="84">
        <f>+G164+F165</f>
        <v>869439.82000000007</v>
      </c>
      <c r="H165" s="100" t="s">
        <v>63</v>
      </c>
      <c r="I165" s="3"/>
    </row>
    <row r="166" spans="1:11" ht="14.5" x14ac:dyDescent="0.35">
      <c r="A166" s="3"/>
      <c r="B166" s="43">
        <v>8</v>
      </c>
      <c r="C166" s="41" t="s">
        <v>26</v>
      </c>
      <c r="D166" s="27">
        <v>291774.5</v>
      </c>
      <c r="E166" s="27">
        <v>0</v>
      </c>
      <c r="F166" s="83">
        <f>+E166+D166</f>
        <v>291774.5</v>
      </c>
      <c r="G166" s="85">
        <f>+G165+F166</f>
        <v>1161214.32</v>
      </c>
      <c r="H166" s="100"/>
      <c r="I166" s="10"/>
      <c r="J166" s="3"/>
      <c r="K166" s="3"/>
    </row>
    <row r="167" spans="1:11" s="3" customFormat="1" ht="14.5" x14ac:dyDescent="0.35">
      <c r="B167" s="43">
        <v>9</v>
      </c>
      <c r="C167" s="41" t="s">
        <v>27</v>
      </c>
      <c r="D167" s="27">
        <v>159144.5</v>
      </c>
      <c r="E167" s="27">
        <v>0</v>
      </c>
      <c r="F167" s="65">
        <f t="shared" ref="F167:F184" si="8">+E167+D167</f>
        <v>159144.5</v>
      </c>
      <c r="G167" s="85">
        <f t="shared" ref="G167:G184" si="9">+G166+F167</f>
        <v>1320358.82</v>
      </c>
      <c r="H167" s="100"/>
      <c r="I167" s="60"/>
      <c r="J167" s="60"/>
    </row>
    <row r="168" spans="1:11" s="3" customFormat="1" ht="14.5" hidden="1" x14ac:dyDescent="0.35">
      <c r="B168" s="43">
        <v>10</v>
      </c>
      <c r="C168" s="41" t="s">
        <v>74</v>
      </c>
      <c r="D168" s="27"/>
      <c r="E168" s="27"/>
      <c r="F168" s="65">
        <f t="shared" si="8"/>
        <v>0</v>
      </c>
      <c r="G168" s="85">
        <f t="shared" si="9"/>
        <v>1320358.82</v>
      </c>
      <c r="H168" s="100"/>
      <c r="I168" s="60"/>
      <c r="J168" s="60"/>
    </row>
    <row r="169" spans="1:11" s="3" customFormat="1" ht="14.5" hidden="1" x14ac:dyDescent="0.35">
      <c r="B169" s="43">
        <v>11</v>
      </c>
      <c r="C169" s="41" t="s">
        <v>75</v>
      </c>
      <c r="D169" s="27"/>
      <c r="E169" s="27"/>
      <c r="F169" s="65">
        <f t="shared" si="8"/>
        <v>0</v>
      </c>
      <c r="G169" s="85">
        <f t="shared" si="9"/>
        <v>1320358.82</v>
      </c>
      <c r="H169" s="100"/>
      <c r="I169" s="60"/>
      <c r="J169" s="60"/>
    </row>
    <row r="170" spans="1:11" s="3" customFormat="1" ht="14.5" hidden="1" x14ac:dyDescent="0.35">
      <c r="B170" s="43">
        <v>12</v>
      </c>
      <c r="C170" s="41" t="s">
        <v>76</v>
      </c>
      <c r="D170" s="27"/>
      <c r="E170" s="27"/>
      <c r="F170" s="65">
        <f t="shared" si="8"/>
        <v>0</v>
      </c>
      <c r="G170" s="85">
        <f t="shared" si="9"/>
        <v>1320358.82</v>
      </c>
      <c r="H170" s="100"/>
      <c r="I170" s="60"/>
      <c r="J170" s="60"/>
    </row>
    <row r="171" spans="1:11" s="3" customFormat="1" ht="14.5" hidden="1" x14ac:dyDescent="0.35">
      <c r="B171" s="43">
        <v>13</v>
      </c>
      <c r="C171" s="41" t="s">
        <v>77</v>
      </c>
      <c r="D171" s="27"/>
      <c r="E171" s="27"/>
      <c r="F171" s="65">
        <f t="shared" si="8"/>
        <v>0</v>
      </c>
      <c r="G171" s="85">
        <f t="shared" si="9"/>
        <v>1320358.82</v>
      </c>
      <c r="H171" s="100"/>
      <c r="I171" s="60"/>
      <c r="J171" s="60"/>
    </row>
    <row r="172" spans="1:11" s="3" customFormat="1" ht="14.5" hidden="1" x14ac:dyDescent="0.35">
      <c r="B172" s="43">
        <v>14</v>
      </c>
      <c r="C172" s="104" t="s">
        <v>78</v>
      </c>
      <c r="D172" s="27"/>
      <c r="E172" s="27"/>
      <c r="F172" s="65">
        <f t="shared" si="8"/>
        <v>0</v>
      </c>
      <c r="G172" s="85">
        <f t="shared" si="9"/>
        <v>1320358.82</v>
      </c>
      <c r="H172" s="100"/>
      <c r="I172" s="60"/>
      <c r="J172" s="60"/>
    </row>
    <row r="173" spans="1:11" s="3" customFormat="1" ht="14.5" hidden="1" x14ac:dyDescent="0.35">
      <c r="B173" s="43">
        <v>15</v>
      </c>
      <c r="C173" s="41" t="s">
        <v>79</v>
      </c>
      <c r="D173" s="27"/>
      <c r="E173" s="27"/>
      <c r="F173" s="65">
        <f t="shared" si="8"/>
        <v>0</v>
      </c>
      <c r="G173" s="85">
        <f t="shared" si="9"/>
        <v>1320358.82</v>
      </c>
      <c r="H173" s="100"/>
      <c r="I173" s="60"/>
      <c r="J173" s="60"/>
    </row>
    <row r="174" spans="1:11" s="3" customFormat="1" ht="14.5" hidden="1" x14ac:dyDescent="0.35">
      <c r="B174" s="43">
        <v>16</v>
      </c>
      <c r="C174" s="41" t="s">
        <v>80</v>
      </c>
      <c r="D174" s="27"/>
      <c r="E174" s="27"/>
      <c r="F174" s="65">
        <f t="shared" si="8"/>
        <v>0</v>
      </c>
      <c r="G174" s="85">
        <f t="shared" si="9"/>
        <v>1320358.82</v>
      </c>
      <c r="H174" s="100"/>
      <c r="I174" s="60"/>
      <c r="J174" s="60"/>
    </row>
    <row r="175" spans="1:11" s="3" customFormat="1" ht="14.5" hidden="1" x14ac:dyDescent="0.35">
      <c r="B175" s="43">
        <v>17</v>
      </c>
      <c r="C175" s="41" t="s">
        <v>81</v>
      </c>
      <c r="D175" s="27"/>
      <c r="E175" s="27"/>
      <c r="F175" s="65">
        <f t="shared" si="8"/>
        <v>0</v>
      </c>
      <c r="G175" s="85">
        <f t="shared" si="9"/>
        <v>1320358.82</v>
      </c>
      <c r="H175" s="100"/>
      <c r="I175" s="60"/>
      <c r="J175" s="60"/>
    </row>
    <row r="176" spans="1:11" s="3" customFormat="1" ht="14.5" hidden="1" x14ac:dyDescent="0.35">
      <c r="B176" s="43">
        <v>18</v>
      </c>
      <c r="C176" s="41" t="s">
        <v>82</v>
      </c>
      <c r="D176" s="27"/>
      <c r="E176" s="27"/>
      <c r="F176" s="65">
        <f t="shared" si="8"/>
        <v>0</v>
      </c>
      <c r="G176" s="85">
        <f t="shared" si="9"/>
        <v>1320358.82</v>
      </c>
      <c r="H176" s="100"/>
      <c r="I176" s="60"/>
      <c r="J176" s="60"/>
    </row>
    <row r="177" spans="1:11" s="3" customFormat="1" ht="14.5" hidden="1" x14ac:dyDescent="0.35">
      <c r="B177" s="43">
        <v>19</v>
      </c>
      <c r="C177" s="41" t="s">
        <v>83</v>
      </c>
      <c r="D177" s="27"/>
      <c r="E177" s="27"/>
      <c r="F177" s="65">
        <f t="shared" si="8"/>
        <v>0</v>
      </c>
      <c r="G177" s="85">
        <f t="shared" si="9"/>
        <v>1320358.82</v>
      </c>
      <c r="H177" s="100"/>
      <c r="I177" s="60"/>
      <c r="J177" s="60"/>
    </row>
    <row r="178" spans="1:11" s="3" customFormat="1" ht="14.5" hidden="1" x14ac:dyDescent="0.35">
      <c r="B178" s="43">
        <v>20</v>
      </c>
      <c r="C178" s="41" t="s">
        <v>84</v>
      </c>
      <c r="D178" s="27"/>
      <c r="E178" s="27"/>
      <c r="F178" s="65">
        <f t="shared" si="8"/>
        <v>0</v>
      </c>
      <c r="G178" s="85">
        <f t="shared" si="9"/>
        <v>1320358.82</v>
      </c>
      <c r="H178" s="100"/>
      <c r="I178" s="60"/>
      <c r="J178" s="60"/>
    </row>
    <row r="179" spans="1:11" s="3" customFormat="1" ht="14.5" hidden="1" x14ac:dyDescent="0.35">
      <c r="B179" s="43">
        <v>21</v>
      </c>
      <c r="C179" s="41" t="s">
        <v>85</v>
      </c>
      <c r="D179" s="27"/>
      <c r="E179" s="27"/>
      <c r="F179" s="65">
        <f t="shared" si="8"/>
        <v>0</v>
      </c>
      <c r="G179" s="85">
        <f t="shared" si="9"/>
        <v>1320358.82</v>
      </c>
      <c r="H179" s="100"/>
      <c r="I179" s="60"/>
      <c r="J179" s="60"/>
    </row>
    <row r="180" spans="1:11" s="3" customFormat="1" ht="14.5" hidden="1" x14ac:dyDescent="0.35">
      <c r="B180" s="43">
        <v>22</v>
      </c>
      <c r="C180" s="41" t="s">
        <v>86</v>
      </c>
      <c r="D180" s="27"/>
      <c r="E180" s="27"/>
      <c r="F180" s="65">
        <f t="shared" si="8"/>
        <v>0</v>
      </c>
      <c r="G180" s="85">
        <f t="shared" si="9"/>
        <v>1320358.82</v>
      </c>
      <c r="H180" s="100"/>
      <c r="I180" s="60"/>
      <c r="J180" s="60"/>
    </row>
    <row r="181" spans="1:11" s="3" customFormat="1" ht="14.5" hidden="1" x14ac:dyDescent="0.35">
      <c r="B181" s="43">
        <v>23</v>
      </c>
      <c r="C181" s="41" t="s">
        <v>87</v>
      </c>
      <c r="D181" s="27"/>
      <c r="E181" s="27"/>
      <c r="F181" s="65">
        <f t="shared" si="8"/>
        <v>0</v>
      </c>
      <c r="G181" s="85">
        <f t="shared" si="9"/>
        <v>1320358.82</v>
      </c>
      <c r="H181" s="100"/>
      <c r="I181" s="60"/>
      <c r="J181" s="60"/>
    </row>
    <row r="182" spans="1:11" s="3" customFormat="1" ht="14.5" hidden="1" x14ac:dyDescent="0.35">
      <c r="B182" s="43">
        <v>24</v>
      </c>
      <c r="C182" s="41" t="s">
        <v>88</v>
      </c>
      <c r="D182" s="27"/>
      <c r="E182" s="27"/>
      <c r="F182" s="65">
        <f t="shared" si="8"/>
        <v>0</v>
      </c>
      <c r="G182" s="85">
        <f t="shared" si="9"/>
        <v>1320358.82</v>
      </c>
      <c r="H182" s="100"/>
      <c r="I182" s="60"/>
      <c r="J182" s="60"/>
    </row>
    <row r="183" spans="1:11" s="3" customFormat="1" ht="14.5" hidden="1" x14ac:dyDescent="0.35">
      <c r="B183" s="43">
        <v>25</v>
      </c>
      <c r="C183" s="105" t="s">
        <v>89</v>
      </c>
      <c r="D183" s="27"/>
      <c r="E183" s="27"/>
      <c r="F183" s="65">
        <f t="shared" si="8"/>
        <v>0</v>
      </c>
      <c r="G183" s="85">
        <f t="shared" si="9"/>
        <v>1320358.82</v>
      </c>
      <c r="H183" s="100"/>
      <c r="I183" s="60"/>
      <c r="J183" s="60"/>
    </row>
    <row r="184" spans="1:11" s="3" customFormat="1" ht="14.5" hidden="1" x14ac:dyDescent="0.35">
      <c r="B184" s="43">
        <v>26</v>
      </c>
      <c r="C184" s="105" t="s">
        <v>90</v>
      </c>
      <c r="D184" s="34"/>
      <c r="E184" s="34"/>
      <c r="F184" s="94">
        <f t="shared" si="8"/>
        <v>0</v>
      </c>
      <c r="G184" s="106">
        <f t="shared" si="9"/>
        <v>1320358.82</v>
      </c>
      <c r="H184" s="100"/>
      <c r="I184" s="60"/>
      <c r="J184" s="60"/>
    </row>
    <row r="185" spans="1:11" ht="14.5" x14ac:dyDescent="0.35">
      <c r="A185" s="3"/>
      <c r="B185" s="107"/>
      <c r="C185" s="108"/>
      <c r="D185" s="60"/>
      <c r="E185" s="60"/>
      <c r="F185" s="109"/>
      <c r="G185" s="60"/>
      <c r="H185" s="100"/>
      <c r="I185" s="10"/>
      <c r="J185" s="3"/>
      <c r="K185" s="3"/>
    </row>
    <row r="186" spans="1:11" ht="14.5" x14ac:dyDescent="0.35">
      <c r="A186" s="3"/>
      <c r="B186" s="8" t="s">
        <v>44</v>
      </c>
      <c r="C186" s="58"/>
      <c r="D186" s="86" t="s">
        <v>63</v>
      </c>
      <c r="E186" s="86" t="s">
        <v>63</v>
      </c>
      <c r="F186" s="86" t="s">
        <v>63</v>
      </c>
      <c r="G186" s="86" t="s">
        <v>63</v>
      </c>
      <c r="H186" s="6" t="s">
        <v>63</v>
      </c>
      <c r="I186" s="3"/>
    </row>
    <row r="187" spans="1:11" ht="14.5" x14ac:dyDescent="0.35">
      <c r="A187" s="3"/>
      <c r="B187" s="9" t="s">
        <v>45</v>
      </c>
      <c r="C187" s="5"/>
      <c r="D187" s="6"/>
      <c r="E187" s="6"/>
      <c r="F187" s="87"/>
      <c r="G187" s="87"/>
      <c r="H187" s="101"/>
      <c r="I187" s="3"/>
    </row>
    <row r="188" spans="1:11" ht="14.5" x14ac:dyDescent="0.35">
      <c r="A188" s="3"/>
      <c r="B188" s="9" t="s">
        <v>46</v>
      </c>
      <c r="C188" s="5"/>
      <c r="D188" s="6"/>
      <c r="E188" s="6"/>
      <c r="F188" s="87"/>
      <c r="G188" s="86" t="s">
        <v>63</v>
      </c>
      <c r="H188" s="6" t="s">
        <v>63</v>
      </c>
      <c r="I188" s="3"/>
    </row>
    <row r="189" spans="1:11" ht="14.5" x14ac:dyDescent="0.35">
      <c r="A189" s="3"/>
      <c r="B189" s="9" t="s">
        <v>47</v>
      </c>
      <c r="C189" s="5"/>
      <c r="D189" s="6"/>
      <c r="E189" s="6"/>
      <c r="F189" s="86" t="s">
        <v>63</v>
      </c>
      <c r="G189" s="86" t="s">
        <v>63</v>
      </c>
      <c r="H189" s="6" t="s">
        <v>63</v>
      </c>
      <c r="I189" s="3"/>
    </row>
    <row r="190" spans="1:11" ht="14.5" x14ac:dyDescent="0.35">
      <c r="A190" s="3"/>
      <c r="B190" s="9" t="s">
        <v>63</v>
      </c>
      <c r="C190" s="47" t="s">
        <v>63</v>
      </c>
      <c r="D190" s="86" t="s">
        <v>63</v>
      </c>
      <c r="E190" s="86" t="s">
        <v>63</v>
      </c>
      <c r="F190" s="86" t="s">
        <v>63</v>
      </c>
      <c r="G190" s="86" t="s">
        <v>63</v>
      </c>
      <c r="H190" s="6" t="s">
        <v>63</v>
      </c>
      <c r="I190" s="3"/>
    </row>
    <row r="191" spans="1:11" ht="14.5" x14ac:dyDescent="0.35">
      <c r="A191" s="3"/>
      <c r="B191" s="9" t="s">
        <v>63</v>
      </c>
      <c r="C191" s="47" t="s">
        <v>63</v>
      </c>
      <c r="D191" s="86" t="s">
        <v>63</v>
      </c>
      <c r="E191" s="86" t="s">
        <v>63</v>
      </c>
      <c r="F191" s="86" t="s">
        <v>63</v>
      </c>
      <c r="G191" s="86" t="s">
        <v>63</v>
      </c>
      <c r="H191" s="6" t="s">
        <v>63</v>
      </c>
      <c r="I191" s="3"/>
    </row>
    <row r="192" spans="1:11" ht="18.5" x14ac:dyDescent="0.45">
      <c r="A192" s="3"/>
      <c r="C192" s="48"/>
      <c r="D192" s="181" t="s">
        <v>48</v>
      </c>
      <c r="E192" s="181"/>
      <c r="F192" s="181"/>
      <c r="G192" s="181"/>
      <c r="H192" s="181"/>
      <c r="I192" s="3"/>
    </row>
    <row r="193" spans="1:11" ht="16" x14ac:dyDescent="0.4">
      <c r="A193" s="38"/>
      <c r="B193" s="28" t="s">
        <v>63</v>
      </c>
      <c r="C193" s="59" t="s">
        <v>63</v>
      </c>
      <c r="D193" s="182" t="s">
        <v>66</v>
      </c>
      <c r="E193" s="182"/>
      <c r="F193" s="182"/>
      <c r="G193" s="182"/>
      <c r="H193" s="182"/>
      <c r="I193" s="38"/>
    </row>
    <row r="194" spans="1:11" ht="15.9" customHeight="1" x14ac:dyDescent="0.4">
      <c r="A194" s="3"/>
      <c r="B194" s="124" t="s">
        <v>73</v>
      </c>
      <c r="C194" s="124"/>
      <c r="D194" s="124"/>
      <c r="E194" s="124"/>
      <c r="F194" s="124"/>
      <c r="G194" s="124"/>
      <c r="H194" s="124"/>
      <c r="I194" s="3"/>
    </row>
    <row r="195" spans="1:11" ht="14.5" x14ac:dyDescent="0.35">
      <c r="A195" s="3"/>
      <c r="B195" s="15"/>
      <c r="C195" s="16"/>
      <c r="D195" s="114" t="s">
        <v>7</v>
      </c>
      <c r="E195" s="115"/>
      <c r="F195" s="115"/>
      <c r="G195" s="176"/>
      <c r="H195" s="177" t="s">
        <v>63</v>
      </c>
      <c r="I195" s="3"/>
    </row>
    <row r="196" spans="1:11" ht="14.5" x14ac:dyDescent="0.35">
      <c r="A196" s="3"/>
      <c r="B196" s="13"/>
      <c r="C196" s="14"/>
      <c r="D196" s="121" t="s">
        <v>10</v>
      </c>
      <c r="E196" s="122"/>
      <c r="F196" s="122"/>
      <c r="G196" s="178"/>
      <c r="H196" s="177"/>
      <c r="I196" s="3"/>
    </row>
    <row r="197" spans="1:11" ht="14.5" x14ac:dyDescent="0.35">
      <c r="A197" s="3"/>
      <c r="B197" s="128" t="s">
        <v>11</v>
      </c>
      <c r="C197" s="130" t="s">
        <v>12</v>
      </c>
      <c r="D197" s="80" t="s">
        <v>13</v>
      </c>
      <c r="E197" s="80" t="s">
        <v>14</v>
      </c>
      <c r="F197" s="80" t="s">
        <v>15</v>
      </c>
      <c r="G197" s="81" t="s">
        <v>16</v>
      </c>
      <c r="H197" s="172" t="s">
        <v>63</v>
      </c>
      <c r="I197" s="3"/>
    </row>
    <row r="198" spans="1:11" ht="14.5" x14ac:dyDescent="0.35">
      <c r="A198" s="3"/>
      <c r="B198" s="129"/>
      <c r="C198" s="131"/>
      <c r="D198" s="141" t="s">
        <v>21</v>
      </c>
      <c r="E198" s="142"/>
      <c r="F198" s="142"/>
      <c r="G198" s="173"/>
      <c r="H198" s="172"/>
      <c r="I198" s="3"/>
    </row>
    <row r="199" spans="1:11" ht="14.5" x14ac:dyDescent="0.35">
      <c r="A199" s="3"/>
      <c r="B199" s="43">
        <v>4</v>
      </c>
      <c r="C199" s="56" t="s">
        <v>22</v>
      </c>
      <c r="D199" s="82">
        <v>54998.5</v>
      </c>
      <c r="E199" s="27">
        <v>0</v>
      </c>
      <c r="F199" s="83">
        <f>+E199+D199</f>
        <v>54998.5</v>
      </c>
      <c r="G199" s="84">
        <f>+F199</f>
        <v>54998.5</v>
      </c>
      <c r="H199" s="100" t="s">
        <v>63</v>
      </c>
      <c r="I199" s="3"/>
    </row>
    <row r="200" spans="1:11" ht="14.5" x14ac:dyDescent="0.35">
      <c r="A200" s="3"/>
      <c r="B200" s="50">
        <v>5</v>
      </c>
      <c r="C200" s="57" t="s">
        <v>23</v>
      </c>
      <c r="D200" s="82">
        <v>284978.8</v>
      </c>
      <c r="E200" s="27">
        <v>0</v>
      </c>
      <c r="F200" s="83">
        <f>+E200+D200</f>
        <v>284978.8</v>
      </c>
      <c r="G200" s="84">
        <f>+G199+F200</f>
        <v>339977.3</v>
      </c>
      <c r="H200" s="100" t="s">
        <v>63</v>
      </c>
      <c r="I200" s="3"/>
    </row>
    <row r="201" spans="1:11" ht="14.5" x14ac:dyDescent="0.35">
      <c r="A201" s="3"/>
      <c r="B201" s="50">
        <v>6</v>
      </c>
      <c r="C201" s="57" t="s">
        <v>24</v>
      </c>
      <c r="D201" s="82">
        <v>180407</v>
      </c>
      <c r="E201" s="27">
        <v>0</v>
      </c>
      <c r="F201" s="83">
        <f>+E201+D201</f>
        <v>180407</v>
      </c>
      <c r="G201" s="84">
        <f>+G200+F201</f>
        <v>520384.3</v>
      </c>
      <c r="H201" s="100" t="s">
        <v>63</v>
      </c>
      <c r="I201" s="3"/>
    </row>
    <row r="202" spans="1:11" ht="14.5" x14ac:dyDescent="0.35">
      <c r="A202" s="3"/>
      <c r="B202" s="50">
        <v>7</v>
      </c>
      <c r="C202" s="57" t="s">
        <v>25</v>
      </c>
      <c r="D202" s="82">
        <v>315354.52</v>
      </c>
      <c r="E202" s="27">
        <v>33701</v>
      </c>
      <c r="F202" s="83">
        <f>+E202+D202</f>
        <v>349055.52</v>
      </c>
      <c r="G202" s="84">
        <f>+G201+F202</f>
        <v>869439.82000000007</v>
      </c>
      <c r="H202" s="100" t="s">
        <v>63</v>
      </c>
      <c r="I202" s="3"/>
    </row>
    <row r="203" spans="1:11" ht="14.5" x14ac:dyDescent="0.35">
      <c r="A203" s="3"/>
      <c r="B203" s="43">
        <v>8</v>
      </c>
      <c r="C203" s="41" t="s">
        <v>26</v>
      </c>
      <c r="D203" s="27">
        <v>257132</v>
      </c>
      <c r="E203" s="27">
        <v>0</v>
      </c>
      <c r="F203" s="83">
        <f>+E203+D203</f>
        <v>257132</v>
      </c>
      <c r="G203" s="84">
        <f>+G202+F203</f>
        <v>1126571.82</v>
      </c>
      <c r="H203" s="100"/>
      <c r="I203" s="10"/>
      <c r="J203" s="3"/>
      <c r="K203" s="3"/>
    </row>
    <row r="204" spans="1:11" s="3" customFormat="1" ht="14.5" x14ac:dyDescent="0.35">
      <c r="B204" s="43">
        <v>9</v>
      </c>
      <c r="C204" s="41" t="s">
        <v>27</v>
      </c>
      <c r="D204" s="27">
        <v>159144.5</v>
      </c>
      <c r="E204" s="27">
        <v>0</v>
      </c>
      <c r="F204" s="65">
        <f t="shared" ref="F204:F221" si="10">+E204+D204</f>
        <v>159144.5</v>
      </c>
      <c r="G204" s="85">
        <f t="shared" ref="G204:G221" si="11">+G203+F204</f>
        <v>1285716.32</v>
      </c>
      <c r="H204" s="100"/>
      <c r="I204" s="60"/>
      <c r="J204" s="60"/>
    </row>
    <row r="205" spans="1:11" s="3" customFormat="1" ht="14.5" hidden="1" x14ac:dyDescent="0.35">
      <c r="B205" s="43">
        <v>10</v>
      </c>
      <c r="C205" s="41" t="s">
        <v>74</v>
      </c>
      <c r="D205" s="27"/>
      <c r="E205" s="27"/>
      <c r="F205" s="65">
        <f t="shared" si="10"/>
        <v>0</v>
      </c>
      <c r="G205" s="85">
        <f t="shared" si="11"/>
        <v>1285716.32</v>
      </c>
      <c r="H205" s="100"/>
      <c r="I205" s="60"/>
      <c r="J205" s="60"/>
    </row>
    <row r="206" spans="1:11" s="3" customFormat="1" ht="14.5" hidden="1" x14ac:dyDescent="0.35">
      <c r="B206" s="43">
        <v>11</v>
      </c>
      <c r="C206" s="41" t="s">
        <v>75</v>
      </c>
      <c r="D206" s="27"/>
      <c r="E206" s="27"/>
      <c r="F206" s="65">
        <f t="shared" si="10"/>
        <v>0</v>
      </c>
      <c r="G206" s="85">
        <f t="shared" si="11"/>
        <v>1285716.32</v>
      </c>
      <c r="H206" s="100"/>
      <c r="I206" s="60"/>
      <c r="J206" s="60"/>
    </row>
    <row r="207" spans="1:11" s="3" customFormat="1" ht="14.5" hidden="1" x14ac:dyDescent="0.35">
      <c r="B207" s="43">
        <v>12</v>
      </c>
      <c r="C207" s="41" t="s">
        <v>76</v>
      </c>
      <c r="D207" s="27"/>
      <c r="E207" s="27"/>
      <c r="F207" s="65">
        <f t="shared" si="10"/>
        <v>0</v>
      </c>
      <c r="G207" s="85">
        <f t="shared" si="11"/>
        <v>1285716.32</v>
      </c>
      <c r="H207" s="100"/>
      <c r="I207" s="60"/>
      <c r="J207" s="60"/>
    </row>
    <row r="208" spans="1:11" s="3" customFormat="1" ht="14.5" hidden="1" x14ac:dyDescent="0.35">
      <c r="B208" s="43">
        <v>13</v>
      </c>
      <c r="C208" s="41" t="s">
        <v>77</v>
      </c>
      <c r="D208" s="27"/>
      <c r="E208" s="27"/>
      <c r="F208" s="65">
        <f t="shared" si="10"/>
        <v>0</v>
      </c>
      <c r="G208" s="85">
        <f t="shared" si="11"/>
        <v>1285716.32</v>
      </c>
      <c r="H208" s="100"/>
      <c r="I208" s="60"/>
      <c r="J208" s="60"/>
    </row>
    <row r="209" spans="1:10" s="3" customFormat="1" ht="14.5" hidden="1" x14ac:dyDescent="0.35">
      <c r="B209" s="43">
        <v>14</v>
      </c>
      <c r="C209" s="104" t="s">
        <v>78</v>
      </c>
      <c r="D209" s="27"/>
      <c r="E209" s="27"/>
      <c r="F209" s="65">
        <f t="shared" si="10"/>
        <v>0</v>
      </c>
      <c r="G209" s="85">
        <f t="shared" si="11"/>
        <v>1285716.32</v>
      </c>
      <c r="H209" s="100"/>
      <c r="I209" s="60"/>
      <c r="J209" s="60"/>
    </row>
    <row r="210" spans="1:10" s="3" customFormat="1" ht="14.5" hidden="1" x14ac:dyDescent="0.35">
      <c r="B210" s="43">
        <v>15</v>
      </c>
      <c r="C210" s="41" t="s">
        <v>79</v>
      </c>
      <c r="D210" s="27"/>
      <c r="E210" s="27"/>
      <c r="F210" s="65">
        <f t="shared" si="10"/>
        <v>0</v>
      </c>
      <c r="G210" s="85">
        <f t="shared" si="11"/>
        <v>1285716.32</v>
      </c>
      <c r="H210" s="100"/>
      <c r="I210" s="60"/>
      <c r="J210" s="60"/>
    </row>
    <row r="211" spans="1:10" s="3" customFormat="1" ht="14.5" hidden="1" x14ac:dyDescent="0.35">
      <c r="B211" s="43">
        <v>16</v>
      </c>
      <c r="C211" s="41" t="s">
        <v>80</v>
      </c>
      <c r="D211" s="27"/>
      <c r="E211" s="27"/>
      <c r="F211" s="65">
        <f t="shared" si="10"/>
        <v>0</v>
      </c>
      <c r="G211" s="85">
        <f t="shared" si="11"/>
        <v>1285716.32</v>
      </c>
      <c r="H211" s="100"/>
      <c r="I211" s="60"/>
      <c r="J211" s="60"/>
    </row>
    <row r="212" spans="1:10" s="3" customFormat="1" ht="14.5" hidden="1" x14ac:dyDescent="0.35">
      <c r="B212" s="43">
        <v>17</v>
      </c>
      <c r="C212" s="41" t="s">
        <v>81</v>
      </c>
      <c r="D212" s="27"/>
      <c r="E212" s="27"/>
      <c r="F212" s="65">
        <f t="shared" si="10"/>
        <v>0</v>
      </c>
      <c r="G212" s="85">
        <f t="shared" si="11"/>
        <v>1285716.32</v>
      </c>
      <c r="H212" s="100"/>
      <c r="I212" s="60"/>
      <c r="J212" s="60"/>
    </row>
    <row r="213" spans="1:10" s="3" customFormat="1" ht="14.5" hidden="1" x14ac:dyDescent="0.35">
      <c r="B213" s="43">
        <v>18</v>
      </c>
      <c r="C213" s="41" t="s">
        <v>82</v>
      </c>
      <c r="D213" s="27"/>
      <c r="E213" s="27"/>
      <c r="F213" s="65">
        <f t="shared" si="10"/>
        <v>0</v>
      </c>
      <c r="G213" s="85">
        <f t="shared" si="11"/>
        <v>1285716.32</v>
      </c>
      <c r="H213" s="100"/>
      <c r="I213" s="60"/>
      <c r="J213" s="60"/>
    </row>
    <row r="214" spans="1:10" s="3" customFormat="1" ht="14.5" hidden="1" x14ac:dyDescent="0.35">
      <c r="B214" s="43">
        <v>19</v>
      </c>
      <c r="C214" s="41" t="s">
        <v>83</v>
      </c>
      <c r="D214" s="27"/>
      <c r="E214" s="27"/>
      <c r="F214" s="65">
        <f t="shared" si="10"/>
        <v>0</v>
      </c>
      <c r="G214" s="85">
        <f t="shared" si="11"/>
        <v>1285716.32</v>
      </c>
      <c r="H214" s="100"/>
      <c r="I214" s="60"/>
      <c r="J214" s="60"/>
    </row>
    <row r="215" spans="1:10" s="3" customFormat="1" ht="14.5" hidden="1" x14ac:dyDescent="0.35">
      <c r="B215" s="43">
        <v>20</v>
      </c>
      <c r="C215" s="41" t="s">
        <v>84</v>
      </c>
      <c r="D215" s="27"/>
      <c r="E215" s="27"/>
      <c r="F215" s="65">
        <f t="shared" si="10"/>
        <v>0</v>
      </c>
      <c r="G215" s="85">
        <f t="shared" si="11"/>
        <v>1285716.32</v>
      </c>
      <c r="H215" s="100"/>
      <c r="I215" s="60"/>
      <c r="J215" s="60"/>
    </row>
    <row r="216" spans="1:10" s="3" customFormat="1" ht="14.5" hidden="1" x14ac:dyDescent="0.35">
      <c r="B216" s="43">
        <v>21</v>
      </c>
      <c r="C216" s="41" t="s">
        <v>85</v>
      </c>
      <c r="D216" s="27"/>
      <c r="E216" s="27"/>
      <c r="F216" s="65">
        <f t="shared" si="10"/>
        <v>0</v>
      </c>
      <c r="G216" s="85">
        <f t="shared" si="11"/>
        <v>1285716.32</v>
      </c>
      <c r="H216" s="100"/>
      <c r="I216" s="60"/>
      <c r="J216" s="60"/>
    </row>
    <row r="217" spans="1:10" s="3" customFormat="1" ht="14.5" hidden="1" x14ac:dyDescent="0.35">
      <c r="B217" s="43">
        <v>22</v>
      </c>
      <c r="C217" s="41" t="s">
        <v>86</v>
      </c>
      <c r="D217" s="27"/>
      <c r="E217" s="27"/>
      <c r="F217" s="65">
        <f t="shared" si="10"/>
        <v>0</v>
      </c>
      <c r="G217" s="85">
        <f t="shared" si="11"/>
        <v>1285716.32</v>
      </c>
      <c r="H217" s="100"/>
      <c r="I217" s="60"/>
      <c r="J217" s="60"/>
    </row>
    <row r="218" spans="1:10" s="3" customFormat="1" ht="14.5" hidden="1" x14ac:dyDescent="0.35">
      <c r="B218" s="43">
        <v>23</v>
      </c>
      <c r="C218" s="41" t="s">
        <v>87</v>
      </c>
      <c r="D218" s="27"/>
      <c r="E218" s="27"/>
      <c r="F218" s="65">
        <f t="shared" si="10"/>
        <v>0</v>
      </c>
      <c r="G218" s="85">
        <f t="shared" si="11"/>
        <v>1285716.32</v>
      </c>
      <c r="H218" s="100"/>
      <c r="I218" s="60"/>
      <c r="J218" s="60"/>
    </row>
    <row r="219" spans="1:10" s="3" customFormat="1" ht="14.5" hidden="1" x14ac:dyDescent="0.35">
      <c r="B219" s="43">
        <v>24</v>
      </c>
      <c r="C219" s="41" t="s">
        <v>88</v>
      </c>
      <c r="D219" s="27"/>
      <c r="E219" s="27"/>
      <c r="F219" s="65">
        <f t="shared" si="10"/>
        <v>0</v>
      </c>
      <c r="G219" s="85">
        <f t="shared" si="11"/>
        <v>1285716.32</v>
      </c>
      <c r="H219" s="100"/>
      <c r="I219" s="60"/>
      <c r="J219" s="60"/>
    </row>
    <row r="220" spans="1:10" s="3" customFormat="1" ht="14.5" hidden="1" x14ac:dyDescent="0.35">
      <c r="B220" s="43">
        <v>25</v>
      </c>
      <c r="C220" s="105" t="s">
        <v>89</v>
      </c>
      <c r="D220" s="27"/>
      <c r="E220" s="27"/>
      <c r="F220" s="65">
        <f t="shared" si="10"/>
        <v>0</v>
      </c>
      <c r="G220" s="85">
        <f t="shared" si="11"/>
        <v>1285716.32</v>
      </c>
      <c r="H220" s="100"/>
      <c r="I220" s="60"/>
      <c r="J220" s="60"/>
    </row>
    <row r="221" spans="1:10" s="3" customFormat="1" ht="14.5" hidden="1" x14ac:dyDescent="0.35">
      <c r="B221" s="43">
        <v>26</v>
      </c>
      <c r="C221" s="105" t="s">
        <v>90</v>
      </c>
      <c r="D221" s="34"/>
      <c r="E221" s="34"/>
      <c r="F221" s="94">
        <f t="shared" si="10"/>
        <v>0</v>
      </c>
      <c r="G221" s="106">
        <f t="shared" si="11"/>
        <v>1285716.32</v>
      </c>
      <c r="H221" s="100"/>
      <c r="I221" s="60"/>
      <c r="J221" s="60"/>
    </row>
    <row r="222" spans="1:10" ht="14.5" x14ac:dyDescent="0.35">
      <c r="A222" s="3"/>
      <c r="B222" s="5" t="s">
        <v>63</v>
      </c>
      <c r="C222" s="47" t="s">
        <v>63</v>
      </c>
      <c r="D222" s="86" t="s">
        <v>63</v>
      </c>
      <c r="E222" s="86" t="s">
        <v>63</v>
      </c>
      <c r="F222" s="86" t="s">
        <v>63</v>
      </c>
      <c r="G222" s="86" t="s">
        <v>63</v>
      </c>
      <c r="H222" s="6" t="s">
        <v>63</v>
      </c>
      <c r="I222" s="3"/>
    </row>
    <row r="223" spans="1:10" ht="14.5" x14ac:dyDescent="0.35">
      <c r="A223" s="3"/>
      <c r="B223" s="8" t="s">
        <v>44</v>
      </c>
      <c r="C223" s="58"/>
      <c r="D223" s="86" t="s">
        <v>63</v>
      </c>
      <c r="E223" s="86" t="s">
        <v>63</v>
      </c>
      <c r="F223" s="86" t="s">
        <v>63</v>
      </c>
      <c r="G223" s="86" t="s">
        <v>63</v>
      </c>
      <c r="H223" s="6" t="s">
        <v>63</v>
      </c>
      <c r="I223" s="3"/>
    </row>
    <row r="224" spans="1:10" ht="14.5" x14ac:dyDescent="0.35">
      <c r="A224" s="3"/>
      <c r="B224" s="9" t="s">
        <v>45</v>
      </c>
      <c r="C224" s="5"/>
      <c r="D224" s="6"/>
      <c r="E224" s="6"/>
      <c r="F224" s="87"/>
      <c r="G224" s="87"/>
      <c r="H224" s="101"/>
      <c r="I224" s="3"/>
    </row>
    <row r="225" spans="1:11" ht="14.5" x14ac:dyDescent="0.35">
      <c r="A225" s="3"/>
      <c r="B225" s="9" t="s">
        <v>46</v>
      </c>
      <c r="C225" s="5"/>
      <c r="D225" s="6"/>
      <c r="E225" s="6"/>
      <c r="F225" s="87"/>
      <c r="G225" s="86" t="s">
        <v>63</v>
      </c>
      <c r="H225" s="6" t="s">
        <v>63</v>
      </c>
      <c r="I225" s="3"/>
    </row>
    <row r="226" spans="1:11" ht="14.5" x14ac:dyDescent="0.35">
      <c r="A226" s="3"/>
      <c r="B226" s="9" t="s">
        <v>47</v>
      </c>
      <c r="C226" s="5"/>
      <c r="D226" s="6"/>
      <c r="E226" s="6"/>
      <c r="F226" s="86" t="s">
        <v>63</v>
      </c>
      <c r="G226" s="86" t="s">
        <v>63</v>
      </c>
      <c r="H226" s="6" t="s">
        <v>63</v>
      </c>
      <c r="I226" s="3"/>
    </row>
    <row r="227" spans="1:11" ht="14.5" x14ac:dyDescent="0.35">
      <c r="A227" s="3"/>
      <c r="B227" s="10"/>
      <c r="C227" s="48"/>
      <c r="D227" s="88"/>
      <c r="E227" s="88"/>
      <c r="F227" s="88"/>
      <c r="G227" s="88"/>
      <c r="H227" s="60"/>
      <c r="I227" s="3"/>
    </row>
    <row r="228" spans="1:11" ht="14.5" x14ac:dyDescent="0.35">
      <c r="A228" s="3"/>
      <c r="B228" s="10"/>
      <c r="C228" s="48"/>
      <c r="D228" s="88"/>
      <c r="E228" s="88"/>
      <c r="F228" s="88"/>
      <c r="G228" s="88"/>
      <c r="H228" s="60"/>
      <c r="I228" s="3"/>
    </row>
    <row r="229" spans="1:11" ht="18.5" x14ac:dyDescent="0.45">
      <c r="A229" s="3"/>
      <c r="C229" s="48"/>
      <c r="D229" s="179" t="s">
        <v>51</v>
      </c>
      <c r="E229" s="179"/>
      <c r="F229" s="179"/>
      <c r="G229" s="179"/>
      <c r="H229" s="179"/>
      <c r="I229" s="3"/>
    </row>
    <row r="230" spans="1:11" ht="16" x14ac:dyDescent="0.4">
      <c r="A230" s="38"/>
      <c r="B230" s="28" t="s">
        <v>63</v>
      </c>
      <c r="C230" s="59" t="s">
        <v>63</v>
      </c>
      <c r="D230" s="180" t="s">
        <v>66</v>
      </c>
      <c r="E230" s="180"/>
      <c r="F230" s="180"/>
      <c r="G230" s="180"/>
      <c r="H230" s="180"/>
      <c r="I230" s="38"/>
    </row>
    <row r="231" spans="1:11" ht="15.9" customHeight="1" x14ac:dyDescent="0.4">
      <c r="A231" s="3"/>
      <c r="B231" s="124" t="s">
        <v>73</v>
      </c>
      <c r="C231" s="124"/>
      <c r="D231" s="124"/>
      <c r="E231" s="124"/>
      <c r="F231" s="124"/>
      <c r="G231" s="124"/>
      <c r="H231" s="124"/>
      <c r="I231" s="3"/>
    </row>
    <row r="232" spans="1:11" ht="14.5" x14ac:dyDescent="0.35">
      <c r="A232" s="3"/>
      <c r="B232" s="15"/>
      <c r="C232" s="16"/>
      <c r="D232" s="114" t="s">
        <v>7</v>
      </c>
      <c r="E232" s="115"/>
      <c r="F232" s="115"/>
      <c r="G232" s="176"/>
      <c r="H232" s="177" t="s">
        <v>63</v>
      </c>
      <c r="I232" s="3"/>
    </row>
    <row r="233" spans="1:11" ht="14.5" x14ac:dyDescent="0.35">
      <c r="A233" s="3"/>
      <c r="B233" s="13"/>
      <c r="C233" s="14"/>
      <c r="D233" s="121" t="s">
        <v>10</v>
      </c>
      <c r="E233" s="122"/>
      <c r="F233" s="122"/>
      <c r="G233" s="178"/>
      <c r="H233" s="177"/>
      <c r="I233" s="3"/>
    </row>
    <row r="234" spans="1:11" ht="14.5" x14ac:dyDescent="0.35">
      <c r="A234" s="3"/>
      <c r="B234" s="128" t="s">
        <v>11</v>
      </c>
      <c r="C234" s="130" t="s">
        <v>12</v>
      </c>
      <c r="D234" s="80" t="s">
        <v>13</v>
      </c>
      <c r="E234" s="80" t="s">
        <v>14</v>
      </c>
      <c r="F234" s="80" t="s">
        <v>15</v>
      </c>
      <c r="G234" s="81" t="s">
        <v>16</v>
      </c>
      <c r="H234" s="172" t="s">
        <v>63</v>
      </c>
      <c r="I234" s="3"/>
    </row>
    <row r="235" spans="1:11" ht="14.5" x14ac:dyDescent="0.35">
      <c r="A235" s="3"/>
      <c r="B235" s="129"/>
      <c r="C235" s="131"/>
      <c r="D235" s="141" t="s">
        <v>21</v>
      </c>
      <c r="E235" s="142"/>
      <c r="F235" s="142"/>
      <c r="G235" s="173"/>
      <c r="H235" s="172"/>
      <c r="I235" s="3"/>
    </row>
    <row r="236" spans="1:11" ht="14.5" x14ac:dyDescent="0.35">
      <c r="A236" s="3"/>
      <c r="B236" s="43">
        <v>4</v>
      </c>
      <c r="C236" s="56" t="s">
        <v>22</v>
      </c>
      <c r="D236" s="27">
        <v>0</v>
      </c>
      <c r="E236" s="27">
        <v>0</v>
      </c>
      <c r="F236" s="27">
        <v>0</v>
      </c>
      <c r="G236" s="27">
        <v>0</v>
      </c>
      <c r="H236" s="100" t="s">
        <v>63</v>
      </c>
      <c r="I236" s="3"/>
    </row>
    <row r="237" spans="1:11" ht="14.5" x14ac:dyDescent="0.35">
      <c r="A237" s="3"/>
      <c r="B237" s="50">
        <v>5</v>
      </c>
      <c r="C237" s="57" t="s">
        <v>23</v>
      </c>
      <c r="D237" s="27">
        <v>0</v>
      </c>
      <c r="E237" s="27">
        <v>0</v>
      </c>
      <c r="F237" s="27">
        <v>0</v>
      </c>
      <c r="G237" s="27">
        <v>0</v>
      </c>
      <c r="H237" s="100" t="s">
        <v>63</v>
      </c>
      <c r="I237" s="3"/>
    </row>
    <row r="238" spans="1:11" ht="14.5" x14ac:dyDescent="0.35">
      <c r="A238" s="3"/>
      <c r="B238" s="50">
        <v>6</v>
      </c>
      <c r="C238" s="57" t="s">
        <v>24</v>
      </c>
      <c r="D238" s="27">
        <v>0</v>
      </c>
      <c r="E238" s="27">
        <v>0</v>
      </c>
      <c r="F238" s="27">
        <v>0</v>
      </c>
      <c r="G238" s="27">
        <v>0</v>
      </c>
      <c r="H238" s="100" t="s">
        <v>63</v>
      </c>
      <c r="I238" s="3"/>
    </row>
    <row r="239" spans="1:11" ht="14.5" x14ac:dyDescent="0.35">
      <c r="A239" s="3"/>
      <c r="B239" s="50">
        <v>7</v>
      </c>
      <c r="C239" s="57" t="s">
        <v>25</v>
      </c>
      <c r="D239" s="27">
        <v>0</v>
      </c>
      <c r="E239" s="27">
        <v>0</v>
      </c>
      <c r="F239" s="27">
        <v>0</v>
      </c>
      <c r="G239" s="27">
        <v>0</v>
      </c>
      <c r="H239" s="100" t="s">
        <v>63</v>
      </c>
      <c r="I239" s="3"/>
    </row>
    <row r="240" spans="1:11" ht="14.5" x14ac:dyDescent="0.35">
      <c r="A240" s="3"/>
      <c r="B240" s="43">
        <v>8</v>
      </c>
      <c r="C240" s="41" t="s">
        <v>26</v>
      </c>
      <c r="D240" s="27">
        <v>34642.5</v>
      </c>
      <c r="E240" s="27">
        <v>0</v>
      </c>
      <c r="F240" s="65">
        <f t="shared" ref="F240:F258" si="12">+E240+D240</f>
        <v>34642.5</v>
      </c>
      <c r="G240" s="85">
        <f t="shared" ref="G240:G258" si="13">+G239+F240</f>
        <v>34642.5</v>
      </c>
      <c r="H240" s="100"/>
      <c r="I240" s="10"/>
      <c r="J240" s="3"/>
      <c r="K240" s="3"/>
    </row>
    <row r="241" spans="2:10" s="3" customFormat="1" ht="14.5" x14ac:dyDescent="0.35">
      <c r="B241" s="43">
        <v>9</v>
      </c>
      <c r="C241" s="41" t="s">
        <v>27</v>
      </c>
      <c r="D241" s="27">
        <v>0</v>
      </c>
      <c r="E241" s="27">
        <v>0</v>
      </c>
      <c r="F241" s="65">
        <f t="shared" si="12"/>
        <v>0</v>
      </c>
      <c r="G241" s="85">
        <f t="shared" si="13"/>
        <v>34642.5</v>
      </c>
      <c r="H241" s="100"/>
      <c r="I241" s="60"/>
      <c r="J241" s="60"/>
    </row>
    <row r="242" spans="2:10" s="3" customFormat="1" ht="14.5" hidden="1" x14ac:dyDescent="0.35">
      <c r="B242" s="43">
        <v>10</v>
      </c>
      <c r="C242" s="41" t="s">
        <v>74</v>
      </c>
      <c r="D242" s="27"/>
      <c r="E242" s="27"/>
      <c r="F242" s="65">
        <f t="shared" si="12"/>
        <v>0</v>
      </c>
      <c r="G242" s="85">
        <f t="shared" si="13"/>
        <v>34642.5</v>
      </c>
      <c r="H242" s="100"/>
      <c r="I242" s="60"/>
      <c r="J242" s="60"/>
    </row>
    <row r="243" spans="2:10" s="3" customFormat="1" ht="14.5" hidden="1" x14ac:dyDescent="0.35">
      <c r="B243" s="43">
        <v>11</v>
      </c>
      <c r="C243" s="41" t="s">
        <v>75</v>
      </c>
      <c r="D243" s="27"/>
      <c r="E243" s="27"/>
      <c r="F243" s="65">
        <f t="shared" si="12"/>
        <v>0</v>
      </c>
      <c r="G243" s="85">
        <f t="shared" si="13"/>
        <v>34642.5</v>
      </c>
      <c r="H243" s="100"/>
      <c r="I243" s="60"/>
      <c r="J243" s="60"/>
    </row>
    <row r="244" spans="2:10" s="3" customFormat="1" ht="14.5" hidden="1" x14ac:dyDescent="0.35">
      <c r="B244" s="43">
        <v>12</v>
      </c>
      <c r="C244" s="41" t="s">
        <v>76</v>
      </c>
      <c r="D244" s="27"/>
      <c r="E244" s="27"/>
      <c r="F244" s="65">
        <f t="shared" si="12"/>
        <v>0</v>
      </c>
      <c r="G244" s="85">
        <f t="shared" si="13"/>
        <v>34642.5</v>
      </c>
      <c r="H244" s="100"/>
      <c r="I244" s="60"/>
      <c r="J244" s="60"/>
    </row>
    <row r="245" spans="2:10" s="3" customFormat="1" ht="14.5" hidden="1" x14ac:dyDescent="0.35">
      <c r="B245" s="43">
        <v>13</v>
      </c>
      <c r="C245" s="41" t="s">
        <v>77</v>
      </c>
      <c r="D245" s="27"/>
      <c r="E245" s="27"/>
      <c r="F245" s="65">
        <f t="shared" si="12"/>
        <v>0</v>
      </c>
      <c r="G245" s="85">
        <f t="shared" si="13"/>
        <v>34642.5</v>
      </c>
      <c r="H245" s="100"/>
      <c r="I245" s="60"/>
      <c r="J245" s="60"/>
    </row>
    <row r="246" spans="2:10" s="3" customFormat="1" ht="14.5" hidden="1" x14ac:dyDescent="0.35">
      <c r="B246" s="43">
        <v>14</v>
      </c>
      <c r="C246" s="104" t="s">
        <v>78</v>
      </c>
      <c r="D246" s="27"/>
      <c r="E246" s="27"/>
      <c r="F246" s="65">
        <f t="shared" si="12"/>
        <v>0</v>
      </c>
      <c r="G246" s="85">
        <f t="shared" si="13"/>
        <v>34642.5</v>
      </c>
      <c r="H246" s="100"/>
      <c r="I246" s="60"/>
      <c r="J246" s="60"/>
    </row>
    <row r="247" spans="2:10" s="3" customFormat="1" ht="14.5" hidden="1" x14ac:dyDescent="0.35">
      <c r="B247" s="43">
        <v>15</v>
      </c>
      <c r="C247" s="41" t="s">
        <v>79</v>
      </c>
      <c r="D247" s="27"/>
      <c r="E247" s="27"/>
      <c r="F247" s="65">
        <f t="shared" si="12"/>
        <v>0</v>
      </c>
      <c r="G247" s="85">
        <f t="shared" si="13"/>
        <v>34642.5</v>
      </c>
      <c r="H247" s="100"/>
      <c r="I247" s="60"/>
      <c r="J247" s="60"/>
    </row>
    <row r="248" spans="2:10" s="3" customFormat="1" ht="14.5" hidden="1" x14ac:dyDescent="0.35">
      <c r="B248" s="43">
        <v>16</v>
      </c>
      <c r="C248" s="41" t="s">
        <v>80</v>
      </c>
      <c r="D248" s="27"/>
      <c r="E248" s="27"/>
      <c r="F248" s="65">
        <f t="shared" si="12"/>
        <v>0</v>
      </c>
      <c r="G248" s="85">
        <f t="shared" si="13"/>
        <v>34642.5</v>
      </c>
      <c r="H248" s="100"/>
      <c r="I248" s="60"/>
      <c r="J248" s="60"/>
    </row>
    <row r="249" spans="2:10" s="3" customFormat="1" ht="14.5" hidden="1" x14ac:dyDescent="0.35">
      <c r="B249" s="43">
        <v>17</v>
      </c>
      <c r="C249" s="41" t="s">
        <v>81</v>
      </c>
      <c r="D249" s="27"/>
      <c r="E249" s="27"/>
      <c r="F249" s="65">
        <f t="shared" si="12"/>
        <v>0</v>
      </c>
      <c r="G249" s="85">
        <f t="shared" si="13"/>
        <v>34642.5</v>
      </c>
      <c r="H249" s="100"/>
      <c r="I249" s="60"/>
      <c r="J249" s="60"/>
    </row>
    <row r="250" spans="2:10" s="3" customFormat="1" ht="14.5" hidden="1" x14ac:dyDescent="0.35">
      <c r="B250" s="43">
        <v>18</v>
      </c>
      <c r="C250" s="41" t="s">
        <v>82</v>
      </c>
      <c r="D250" s="27"/>
      <c r="E250" s="27"/>
      <c r="F250" s="65">
        <f t="shared" si="12"/>
        <v>0</v>
      </c>
      <c r="G250" s="85">
        <f t="shared" si="13"/>
        <v>34642.5</v>
      </c>
      <c r="H250" s="100"/>
      <c r="I250" s="60"/>
      <c r="J250" s="60"/>
    </row>
    <row r="251" spans="2:10" s="3" customFormat="1" ht="14.5" hidden="1" x14ac:dyDescent="0.35">
      <c r="B251" s="43">
        <v>19</v>
      </c>
      <c r="C251" s="41" t="s">
        <v>83</v>
      </c>
      <c r="D251" s="27"/>
      <c r="E251" s="27"/>
      <c r="F251" s="65">
        <f t="shared" si="12"/>
        <v>0</v>
      </c>
      <c r="G251" s="85">
        <f t="shared" si="13"/>
        <v>34642.5</v>
      </c>
      <c r="H251" s="100"/>
      <c r="I251" s="60"/>
      <c r="J251" s="60"/>
    </row>
    <row r="252" spans="2:10" s="3" customFormat="1" ht="14.5" hidden="1" x14ac:dyDescent="0.35">
      <c r="B252" s="43">
        <v>20</v>
      </c>
      <c r="C252" s="41" t="s">
        <v>84</v>
      </c>
      <c r="D252" s="27"/>
      <c r="E252" s="27"/>
      <c r="F252" s="65">
        <f t="shared" si="12"/>
        <v>0</v>
      </c>
      <c r="G252" s="85">
        <f t="shared" si="13"/>
        <v>34642.5</v>
      </c>
      <c r="H252" s="100"/>
      <c r="I252" s="60"/>
      <c r="J252" s="60"/>
    </row>
    <row r="253" spans="2:10" s="3" customFormat="1" ht="14.5" hidden="1" x14ac:dyDescent="0.35">
      <c r="B253" s="43">
        <v>21</v>
      </c>
      <c r="C253" s="41" t="s">
        <v>85</v>
      </c>
      <c r="D253" s="27"/>
      <c r="E253" s="27"/>
      <c r="F253" s="65">
        <f t="shared" si="12"/>
        <v>0</v>
      </c>
      <c r="G253" s="85">
        <f t="shared" si="13"/>
        <v>34642.5</v>
      </c>
      <c r="H253" s="100"/>
      <c r="I253" s="60"/>
      <c r="J253" s="60"/>
    </row>
    <row r="254" spans="2:10" s="3" customFormat="1" ht="14.5" hidden="1" x14ac:dyDescent="0.35">
      <c r="B254" s="43">
        <v>22</v>
      </c>
      <c r="C254" s="41" t="s">
        <v>86</v>
      </c>
      <c r="D254" s="27"/>
      <c r="E254" s="27"/>
      <c r="F254" s="65">
        <f t="shared" si="12"/>
        <v>0</v>
      </c>
      <c r="G254" s="85">
        <f t="shared" si="13"/>
        <v>34642.5</v>
      </c>
      <c r="H254" s="100"/>
      <c r="I254" s="60"/>
      <c r="J254" s="60"/>
    </row>
    <row r="255" spans="2:10" s="3" customFormat="1" ht="14.5" hidden="1" x14ac:dyDescent="0.35">
      <c r="B255" s="43">
        <v>23</v>
      </c>
      <c r="C255" s="41" t="s">
        <v>87</v>
      </c>
      <c r="D255" s="27"/>
      <c r="E255" s="27"/>
      <c r="F255" s="65">
        <f t="shared" si="12"/>
        <v>0</v>
      </c>
      <c r="G255" s="85">
        <f t="shared" si="13"/>
        <v>34642.5</v>
      </c>
      <c r="H255" s="100"/>
      <c r="I255" s="60"/>
      <c r="J255" s="60"/>
    </row>
    <row r="256" spans="2:10" s="3" customFormat="1" ht="14.5" hidden="1" x14ac:dyDescent="0.35">
      <c r="B256" s="43">
        <v>24</v>
      </c>
      <c r="C256" s="41" t="s">
        <v>88</v>
      </c>
      <c r="D256" s="27"/>
      <c r="E256" s="27"/>
      <c r="F256" s="65">
        <f t="shared" si="12"/>
        <v>0</v>
      </c>
      <c r="G256" s="85">
        <f t="shared" si="13"/>
        <v>34642.5</v>
      </c>
      <c r="H256" s="100"/>
      <c r="I256" s="60"/>
      <c r="J256" s="60"/>
    </row>
    <row r="257" spans="1:10" s="3" customFormat="1" ht="14.5" hidden="1" x14ac:dyDescent="0.35">
      <c r="B257" s="43">
        <v>25</v>
      </c>
      <c r="C257" s="105" t="s">
        <v>89</v>
      </c>
      <c r="D257" s="27"/>
      <c r="E257" s="27"/>
      <c r="F257" s="65">
        <f t="shared" si="12"/>
        <v>0</v>
      </c>
      <c r="G257" s="85">
        <f t="shared" si="13"/>
        <v>34642.5</v>
      </c>
      <c r="H257" s="100"/>
      <c r="I257" s="60"/>
      <c r="J257" s="60"/>
    </row>
    <row r="258" spans="1:10" s="3" customFormat="1" ht="14.5" hidden="1" x14ac:dyDescent="0.35">
      <c r="B258" s="43">
        <v>26</v>
      </c>
      <c r="C258" s="105" t="s">
        <v>90</v>
      </c>
      <c r="D258" s="34"/>
      <c r="E258" s="34"/>
      <c r="F258" s="94">
        <f t="shared" si="12"/>
        <v>0</v>
      </c>
      <c r="G258" s="106">
        <f t="shared" si="13"/>
        <v>34642.5</v>
      </c>
      <c r="H258" s="100"/>
      <c r="I258" s="60"/>
      <c r="J258" s="60"/>
    </row>
    <row r="259" spans="1:10" ht="14.5" x14ac:dyDescent="0.35">
      <c r="A259" s="3"/>
      <c r="B259" s="5" t="s">
        <v>63</v>
      </c>
      <c r="C259" s="47" t="s">
        <v>63</v>
      </c>
      <c r="D259" s="86" t="s">
        <v>63</v>
      </c>
      <c r="E259" s="86" t="s">
        <v>63</v>
      </c>
      <c r="F259" s="86" t="s">
        <v>63</v>
      </c>
      <c r="G259" s="86" t="s">
        <v>63</v>
      </c>
      <c r="H259" s="6" t="s">
        <v>63</v>
      </c>
      <c r="I259" s="3"/>
    </row>
    <row r="260" spans="1:10" ht="14.5" x14ac:dyDescent="0.35">
      <c r="A260" s="3"/>
      <c r="B260" s="8" t="s">
        <v>44</v>
      </c>
      <c r="C260" s="58"/>
      <c r="D260" s="86" t="s">
        <v>63</v>
      </c>
      <c r="E260" s="86" t="s">
        <v>63</v>
      </c>
      <c r="F260" s="86" t="s">
        <v>63</v>
      </c>
      <c r="G260" s="86" t="s">
        <v>63</v>
      </c>
      <c r="H260" s="6" t="s">
        <v>63</v>
      </c>
      <c r="I260" s="3"/>
    </row>
    <row r="261" spans="1:10" ht="14.5" x14ac:dyDescent="0.35">
      <c r="A261" s="3"/>
      <c r="B261" s="9" t="s">
        <v>45</v>
      </c>
      <c r="C261" s="5"/>
      <c r="D261" s="6"/>
      <c r="E261" s="6"/>
      <c r="F261" s="87"/>
      <c r="G261" s="87"/>
      <c r="H261" s="101"/>
      <c r="I261" s="3"/>
    </row>
    <row r="262" spans="1:10" ht="14.5" x14ac:dyDescent="0.35">
      <c r="A262" s="3"/>
      <c r="B262" s="9" t="s">
        <v>46</v>
      </c>
      <c r="C262" s="5"/>
      <c r="D262" s="6"/>
      <c r="E262" s="6"/>
      <c r="F262" s="87"/>
      <c r="G262" s="86" t="s">
        <v>63</v>
      </c>
      <c r="H262" s="6" t="s">
        <v>63</v>
      </c>
      <c r="I262" s="3"/>
    </row>
    <row r="263" spans="1:10" ht="14.5" x14ac:dyDescent="0.35">
      <c r="A263" s="3"/>
      <c r="B263" s="9" t="s">
        <v>47</v>
      </c>
      <c r="C263" s="5"/>
      <c r="D263" s="6"/>
      <c r="E263" s="6"/>
      <c r="F263" s="86" t="s">
        <v>63</v>
      </c>
      <c r="G263" s="86" t="s">
        <v>63</v>
      </c>
      <c r="H263" s="6" t="s">
        <v>63</v>
      </c>
      <c r="I263" s="3"/>
    </row>
    <row r="264" spans="1:10" ht="14.5" x14ac:dyDescent="0.35">
      <c r="A264" s="3"/>
      <c r="B264" s="3"/>
      <c r="C264" s="46"/>
      <c r="D264" s="79"/>
      <c r="E264" s="79"/>
      <c r="F264" s="79"/>
      <c r="G264" s="79"/>
      <c r="H264" s="42"/>
      <c r="I264" s="3"/>
    </row>
    <row r="265" spans="1:10" ht="14.5" x14ac:dyDescent="0.35">
      <c r="A265" s="3"/>
      <c r="B265" s="3"/>
      <c r="C265" s="46"/>
      <c r="D265" s="79"/>
      <c r="E265" s="79"/>
      <c r="F265" s="79"/>
      <c r="G265" s="79"/>
      <c r="H265" s="42"/>
      <c r="I265" s="3"/>
    </row>
    <row r="266" spans="1:10" ht="18.5" x14ac:dyDescent="0.45">
      <c r="A266" s="3"/>
      <c r="C266" s="48"/>
      <c r="D266" s="174" t="s">
        <v>52</v>
      </c>
      <c r="E266" s="174"/>
      <c r="F266" s="174"/>
      <c r="G266" s="174"/>
      <c r="H266" s="174"/>
      <c r="I266" s="3"/>
    </row>
    <row r="267" spans="1:10" ht="16" x14ac:dyDescent="0.4">
      <c r="A267" s="38"/>
      <c r="B267" s="28" t="s">
        <v>63</v>
      </c>
      <c r="C267" s="59" t="s">
        <v>63</v>
      </c>
      <c r="D267" s="175" t="s">
        <v>66</v>
      </c>
      <c r="E267" s="175"/>
      <c r="F267" s="175"/>
      <c r="G267" s="175"/>
      <c r="H267" s="175"/>
      <c r="I267" s="38"/>
    </row>
    <row r="268" spans="1:10" ht="15.9" customHeight="1" x14ac:dyDescent="0.4">
      <c r="A268" s="3"/>
      <c r="B268" s="124" t="s">
        <v>73</v>
      </c>
      <c r="C268" s="124"/>
      <c r="D268" s="124"/>
      <c r="E268" s="124"/>
      <c r="F268" s="124"/>
      <c r="G268" s="124"/>
      <c r="H268" s="124"/>
      <c r="I268" s="3"/>
    </row>
    <row r="269" spans="1:10" ht="14.5" x14ac:dyDescent="0.35">
      <c r="A269" s="3"/>
      <c r="B269" s="15"/>
      <c r="C269" s="16"/>
      <c r="D269" s="114" t="s">
        <v>7</v>
      </c>
      <c r="E269" s="115"/>
      <c r="F269" s="115"/>
      <c r="G269" s="176"/>
      <c r="H269" s="177" t="s">
        <v>63</v>
      </c>
      <c r="I269" s="3"/>
    </row>
    <row r="270" spans="1:10" ht="14.5" x14ac:dyDescent="0.35">
      <c r="A270" s="3"/>
      <c r="B270" s="13"/>
      <c r="C270" s="14"/>
      <c r="D270" s="121" t="s">
        <v>10</v>
      </c>
      <c r="E270" s="122"/>
      <c r="F270" s="122"/>
      <c r="G270" s="178"/>
      <c r="H270" s="177"/>
      <c r="I270" s="3"/>
    </row>
    <row r="271" spans="1:10" ht="14.5" x14ac:dyDescent="0.35">
      <c r="A271" s="3"/>
      <c r="B271" s="128" t="s">
        <v>11</v>
      </c>
      <c r="C271" s="130" t="s">
        <v>12</v>
      </c>
      <c r="D271" s="80" t="s">
        <v>13</v>
      </c>
      <c r="E271" s="80" t="s">
        <v>14</v>
      </c>
      <c r="F271" s="80" t="s">
        <v>15</v>
      </c>
      <c r="G271" s="81" t="s">
        <v>16</v>
      </c>
      <c r="H271" s="172" t="s">
        <v>63</v>
      </c>
      <c r="I271" s="3"/>
    </row>
    <row r="272" spans="1:10" ht="14.5" x14ac:dyDescent="0.35">
      <c r="A272" s="3"/>
      <c r="B272" s="129"/>
      <c r="C272" s="131"/>
      <c r="D272" s="141" t="s">
        <v>21</v>
      </c>
      <c r="E272" s="142"/>
      <c r="F272" s="142"/>
      <c r="G272" s="173"/>
      <c r="H272" s="172"/>
      <c r="I272" s="3"/>
    </row>
    <row r="273" spans="1:11" ht="14.5" x14ac:dyDescent="0.35">
      <c r="A273" s="3"/>
      <c r="B273" s="43">
        <v>4</v>
      </c>
      <c r="C273" s="56" t="s">
        <v>22</v>
      </c>
      <c r="D273" s="27">
        <v>0</v>
      </c>
      <c r="E273" s="27">
        <v>0</v>
      </c>
      <c r="F273" s="27">
        <v>0</v>
      </c>
      <c r="G273" s="27">
        <v>0</v>
      </c>
      <c r="H273" s="100" t="s">
        <v>63</v>
      </c>
      <c r="I273" s="3"/>
    </row>
    <row r="274" spans="1:11" ht="14.5" x14ac:dyDescent="0.35">
      <c r="A274" s="3"/>
      <c r="B274" s="50">
        <v>5</v>
      </c>
      <c r="C274" s="57" t="s">
        <v>23</v>
      </c>
      <c r="D274" s="27">
        <v>0</v>
      </c>
      <c r="E274" s="27">
        <v>0</v>
      </c>
      <c r="F274" s="27">
        <v>0</v>
      </c>
      <c r="G274" s="27">
        <v>0</v>
      </c>
      <c r="H274" s="100" t="s">
        <v>63</v>
      </c>
      <c r="I274" s="3"/>
    </row>
    <row r="275" spans="1:11" ht="14.5" x14ac:dyDescent="0.35">
      <c r="A275" s="3"/>
      <c r="B275" s="50">
        <v>6</v>
      </c>
      <c r="C275" s="57" t="s">
        <v>24</v>
      </c>
      <c r="D275" s="27">
        <v>0</v>
      </c>
      <c r="E275" s="27">
        <v>0</v>
      </c>
      <c r="F275" s="27">
        <v>0</v>
      </c>
      <c r="G275" s="27">
        <v>0</v>
      </c>
      <c r="H275" s="100" t="s">
        <v>63</v>
      </c>
      <c r="I275" s="3"/>
    </row>
    <row r="276" spans="1:11" ht="14.5" x14ac:dyDescent="0.35">
      <c r="A276" s="3"/>
      <c r="B276" s="50">
        <v>7</v>
      </c>
      <c r="C276" s="57" t="s">
        <v>25</v>
      </c>
      <c r="D276" s="27">
        <v>0</v>
      </c>
      <c r="E276" s="27">
        <v>0</v>
      </c>
      <c r="F276" s="27">
        <v>0</v>
      </c>
      <c r="G276" s="27">
        <v>0</v>
      </c>
      <c r="H276" s="100" t="s">
        <v>63</v>
      </c>
      <c r="I276" s="3"/>
    </row>
    <row r="277" spans="1:11" ht="14.5" x14ac:dyDescent="0.35">
      <c r="A277" s="3"/>
      <c r="B277" s="43">
        <v>8</v>
      </c>
      <c r="C277" s="41" t="s">
        <v>26</v>
      </c>
      <c r="D277" s="27">
        <v>0</v>
      </c>
      <c r="E277" s="27">
        <v>0</v>
      </c>
      <c r="F277" s="65">
        <f t="shared" ref="F277:F295" si="14">+E277+D277</f>
        <v>0</v>
      </c>
      <c r="G277" s="85">
        <f t="shared" ref="G277:G295" si="15">+G276+F277</f>
        <v>0</v>
      </c>
      <c r="H277" s="100"/>
      <c r="I277" s="10"/>
      <c r="J277" s="3"/>
      <c r="K277" s="3"/>
    </row>
    <row r="278" spans="1:11" s="3" customFormat="1" ht="14.5" x14ac:dyDescent="0.35">
      <c r="B278" s="43">
        <v>9</v>
      </c>
      <c r="C278" s="41" t="s">
        <v>27</v>
      </c>
      <c r="D278" s="27">
        <v>0</v>
      </c>
      <c r="E278" s="27">
        <v>0</v>
      </c>
      <c r="F278" s="65">
        <f t="shared" si="14"/>
        <v>0</v>
      </c>
      <c r="G278" s="85">
        <f t="shared" si="15"/>
        <v>0</v>
      </c>
      <c r="H278" s="100"/>
      <c r="I278" s="60"/>
      <c r="J278" s="60"/>
    </row>
    <row r="279" spans="1:11" s="3" customFormat="1" ht="14.5" hidden="1" x14ac:dyDescent="0.35">
      <c r="B279" s="43">
        <v>10</v>
      </c>
      <c r="C279" s="41" t="s">
        <v>74</v>
      </c>
      <c r="D279" s="27"/>
      <c r="E279" s="27"/>
      <c r="F279" s="65">
        <f t="shared" si="14"/>
        <v>0</v>
      </c>
      <c r="G279" s="85">
        <f t="shared" si="15"/>
        <v>0</v>
      </c>
      <c r="H279" s="100"/>
      <c r="I279" s="60"/>
      <c r="J279" s="60"/>
    </row>
    <row r="280" spans="1:11" s="3" customFormat="1" ht="14.5" hidden="1" x14ac:dyDescent="0.35">
      <c r="B280" s="43">
        <v>11</v>
      </c>
      <c r="C280" s="41" t="s">
        <v>75</v>
      </c>
      <c r="D280" s="27"/>
      <c r="E280" s="27"/>
      <c r="F280" s="65">
        <f t="shared" si="14"/>
        <v>0</v>
      </c>
      <c r="G280" s="85">
        <f t="shared" si="15"/>
        <v>0</v>
      </c>
      <c r="H280" s="100"/>
      <c r="I280" s="60"/>
      <c r="J280" s="60"/>
    </row>
    <row r="281" spans="1:11" s="3" customFormat="1" ht="14.5" hidden="1" x14ac:dyDescent="0.35">
      <c r="B281" s="43">
        <v>12</v>
      </c>
      <c r="C281" s="41" t="s">
        <v>76</v>
      </c>
      <c r="D281" s="27"/>
      <c r="E281" s="27"/>
      <c r="F281" s="65">
        <f t="shared" si="14"/>
        <v>0</v>
      </c>
      <c r="G281" s="85">
        <f t="shared" si="15"/>
        <v>0</v>
      </c>
      <c r="H281" s="100"/>
      <c r="I281" s="60"/>
      <c r="J281" s="60"/>
    </row>
    <row r="282" spans="1:11" s="3" customFormat="1" ht="14.5" hidden="1" x14ac:dyDescent="0.35">
      <c r="B282" s="43">
        <v>13</v>
      </c>
      <c r="C282" s="41" t="s">
        <v>77</v>
      </c>
      <c r="D282" s="27"/>
      <c r="E282" s="27"/>
      <c r="F282" s="65">
        <f t="shared" si="14"/>
        <v>0</v>
      </c>
      <c r="G282" s="85">
        <f t="shared" si="15"/>
        <v>0</v>
      </c>
      <c r="H282" s="100"/>
      <c r="I282" s="60"/>
      <c r="J282" s="60"/>
    </row>
    <row r="283" spans="1:11" s="3" customFormat="1" ht="14.5" hidden="1" x14ac:dyDescent="0.35">
      <c r="B283" s="43">
        <v>14</v>
      </c>
      <c r="C283" s="104" t="s">
        <v>78</v>
      </c>
      <c r="D283" s="27"/>
      <c r="E283" s="27"/>
      <c r="F283" s="65">
        <f t="shared" si="14"/>
        <v>0</v>
      </c>
      <c r="G283" s="85">
        <f t="shared" si="15"/>
        <v>0</v>
      </c>
      <c r="H283" s="100"/>
      <c r="I283" s="60"/>
      <c r="J283" s="60"/>
    </row>
    <row r="284" spans="1:11" s="3" customFormat="1" ht="14.5" hidden="1" x14ac:dyDescent="0.35">
      <c r="B284" s="43">
        <v>15</v>
      </c>
      <c r="C284" s="41" t="s">
        <v>79</v>
      </c>
      <c r="D284" s="27"/>
      <c r="E284" s="27"/>
      <c r="F284" s="65">
        <f t="shared" si="14"/>
        <v>0</v>
      </c>
      <c r="G284" s="85">
        <f t="shared" si="15"/>
        <v>0</v>
      </c>
      <c r="H284" s="100"/>
      <c r="I284" s="60"/>
      <c r="J284" s="60"/>
    </row>
    <row r="285" spans="1:11" s="3" customFormat="1" ht="14.5" hidden="1" x14ac:dyDescent="0.35">
      <c r="B285" s="43">
        <v>16</v>
      </c>
      <c r="C285" s="41" t="s">
        <v>80</v>
      </c>
      <c r="D285" s="27"/>
      <c r="E285" s="27"/>
      <c r="F285" s="65">
        <f t="shared" si="14"/>
        <v>0</v>
      </c>
      <c r="G285" s="85">
        <f t="shared" si="15"/>
        <v>0</v>
      </c>
      <c r="H285" s="100"/>
      <c r="I285" s="60"/>
      <c r="J285" s="60"/>
    </row>
    <row r="286" spans="1:11" s="3" customFormat="1" ht="14.5" hidden="1" x14ac:dyDescent="0.35">
      <c r="B286" s="43">
        <v>17</v>
      </c>
      <c r="C286" s="41" t="s">
        <v>81</v>
      </c>
      <c r="D286" s="27"/>
      <c r="E286" s="27"/>
      <c r="F286" s="65">
        <f t="shared" si="14"/>
        <v>0</v>
      </c>
      <c r="G286" s="85">
        <f t="shared" si="15"/>
        <v>0</v>
      </c>
      <c r="H286" s="100"/>
      <c r="I286" s="60"/>
      <c r="J286" s="60"/>
    </row>
    <row r="287" spans="1:11" s="3" customFormat="1" ht="14.5" hidden="1" x14ac:dyDescent="0.35">
      <c r="B287" s="43">
        <v>18</v>
      </c>
      <c r="C287" s="41" t="s">
        <v>82</v>
      </c>
      <c r="D287" s="27"/>
      <c r="E287" s="27"/>
      <c r="F287" s="65">
        <f t="shared" si="14"/>
        <v>0</v>
      </c>
      <c r="G287" s="85">
        <f t="shared" si="15"/>
        <v>0</v>
      </c>
      <c r="H287" s="100"/>
      <c r="I287" s="60"/>
      <c r="J287" s="60"/>
    </row>
    <row r="288" spans="1:11" s="3" customFormat="1" ht="14.5" hidden="1" x14ac:dyDescent="0.35">
      <c r="B288" s="43">
        <v>19</v>
      </c>
      <c r="C288" s="41" t="s">
        <v>83</v>
      </c>
      <c r="D288" s="27"/>
      <c r="E288" s="27"/>
      <c r="F288" s="65">
        <f t="shared" si="14"/>
        <v>0</v>
      </c>
      <c r="G288" s="85">
        <f t="shared" si="15"/>
        <v>0</v>
      </c>
      <c r="H288" s="100"/>
      <c r="I288" s="60"/>
      <c r="J288" s="60"/>
    </row>
    <row r="289" spans="1:10" s="3" customFormat="1" ht="14.5" hidden="1" x14ac:dyDescent="0.35">
      <c r="B289" s="43">
        <v>20</v>
      </c>
      <c r="C289" s="41" t="s">
        <v>84</v>
      </c>
      <c r="D289" s="27"/>
      <c r="E289" s="27"/>
      <c r="F289" s="65">
        <f t="shared" si="14"/>
        <v>0</v>
      </c>
      <c r="G289" s="85">
        <f t="shared" si="15"/>
        <v>0</v>
      </c>
      <c r="H289" s="100"/>
      <c r="I289" s="60"/>
      <c r="J289" s="60"/>
    </row>
    <row r="290" spans="1:10" s="3" customFormat="1" ht="14.5" hidden="1" x14ac:dyDescent="0.35">
      <c r="B290" s="43">
        <v>21</v>
      </c>
      <c r="C290" s="41" t="s">
        <v>85</v>
      </c>
      <c r="D290" s="27"/>
      <c r="E290" s="27"/>
      <c r="F290" s="65">
        <f t="shared" si="14"/>
        <v>0</v>
      </c>
      <c r="G290" s="85">
        <f t="shared" si="15"/>
        <v>0</v>
      </c>
      <c r="H290" s="100"/>
      <c r="I290" s="60"/>
      <c r="J290" s="60"/>
    </row>
    <row r="291" spans="1:10" s="3" customFormat="1" ht="14.5" hidden="1" x14ac:dyDescent="0.35">
      <c r="B291" s="43">
        <v>22</v>
      </c>
      <c r="C291" s="41" t="s">
        <v>86</v>
      </c>
      <c r="D291" s="27"/>
      <c r="E291" s="27"/>
      <c r="F291" s="65">
        <f t="shared" si="14"/>
        <v>0</v>
      </c>
      <c r="G291" s="85">
        <f t="shared" si="15"/>
        <v>0</v>
      </c>
      <c r="H291" s="100"/>
      <c r="I291" s="60"/>
      <c r="J291" s="60"/>
    </row>
    <row r="292" spans="1:10" s="3" customFormat="1" ht="14.5" hidden="1" x14ac:dyDescent="0.35">
      <c r="B292" s="43">
        <v>23</v>
      </c>
      <c r="C292" s="41" t="s">
        <v>87</v>
      </c>
      <c r="D292" s="27"/>
      <c r="E292" s="27"/>
      <c r="F292" s="65">
        <f t="shared" si="14"/>
        <v>0</v>
      </c>
      <c r="G292" s="85">
        <f t="shared" si="15"/>
        <v>0</v>
      </c>
      <c r="H292" s="100"/>
      <c r="I292" s="60"/>
      <c r="J292" s="60"/>
    </row>
    <row r="293" spans="1:10" s="3" customFormat="1" ht="14.5" hidden="1" x14ac:dyDescent="0.35">
      <c r="B293" s="43">
        <v>24</v>
      </c>
      <c r="C293" s="41" t="s">
        <v>88</v>
      </c>
      <c r="D293" s="27"/>
      <c r="E293" s="27"/>
      <c r="F293" s="65">
        <f t="shared" si="14"/>
        <v>0</v>
      </c>
      <c r="G293" s="85">
        <f t="shared" si="15"/>
        <v>0</v>
      </c>
      <c r="H293" s="100"/>
      <c r="I293" s="60"/>
      <c r="J293" s="60"/>
    </row>
    <row r="294" spans="1:10" s="3" customFormat="1" ht="14.5" hidden="1" x14ac:dyDescent="0.35">
      <c r="B294" s="43">
        <v>25</v>
      </c>
      <c r="C294" s="105" t="s">
        <v>89</v>
      </c>
      <c r="D294" s="27"/>
      <c r="E294" s="27"/>
      <c r="F294" s="65">
        <f t="shared" si="14"/>
        <v>0</v>
      </c>
      <c r="G294" s="85">
        <f t="shared" si="15"/>
        <v>0</v>
      </c>
      <c r="H294" s="100"/>
      <c r="I294" s="60"/>
      <c r="J294" s="60"/>
    </row>
    <row r="295" spans="1:10" s="3" customFormat="1" ht="14.5" hidden="1" x14ac:dyDescent="0.35">
      <c r="B295" s="43">
        <v>26</v>
      </c>
      <c r="C295" s="105" t="s">
        <v>90</v>
      </c>
      <c r="D295" s="34"/>
      <c r="E295" s="34"/>
      <c r="F295" s="94">
        <f t="shared" si="14"/>
        <v>0</v>
      </c>
      <c r="G295" s="106">
        <f t="shared" si="15"/>
        <v>0</v>
      </c>
      <c r="H295" s="100"/>
      <c r="I295" s="60"/>
      <c r="J295" s="60"/>
    </row>
    <row r="296" spans="1:10" ht="14.5" x14ac:dyDescent="0.35">
      <c r="A296" s="3"/>
      <c r="B296" s="5" t="s">
        <v>63</v>
      </c>
      <c r="C296" s="47" t="s">
        <v>63</v>
      </c>
      <c r="D296" s="86" t="s">
        <v>63</v>
      </c>
      <c r="E296" s="86" t="s">
        <v>63</v>
      </c>
      <c r="F296" s="86" t="s">
        <v>63</v>
      </c>
      <c r="G296" s="86" t="s">
        <v>63</v>
      </c>
      <c r="H296" s="6" t="s">
        <v>63</v>
      </c>
      <c r="I296" s="3"/>
    </row>
    <row r="297" spans="1:10" ht="14.5" x14ac:dyDescent="0.35">
      <c r="A297" s="3"/>
      <c r="B297" s="8" t="s">
        <v>44</v>
      </c>
      <c r="C297" s="58"/>
      <c r="D297" s="86" t="s">
        <v>63</v>
      </c>
      <c r="E297" s="86" t="s">
        <v>63</v>
      </c>
      <c r="F297" s="86" t="s">
        <v>63</v>
      </c>
      <c r="G297" s="86" t="s">
        <v>63</v>
      </c>
      <c r="H297" s="6" t="s">
        <v>63</v>
      </c>
      <c r="I297" s="3"/>
    </row>
    <row r="298" spans="1:10" ht="14.5" x14ac:dyDescent="0.35">
      <c r="A298" s="3"/>
      <c r="B298" s="9" t="s">
        <v>45</v>
      </c>
      <c r="C298" s="5"/>
      <c r="D298" s="6"/>
      <c r="E298" s="6"/>
      <c r="F298" s="87"/>
      <c r="G298" s="87"/>
      <c r="H298" s="101"/>
      <c r="I298" s="3"/>
    </row>
    <row r="299" spans="1:10" ht="14.5" x14ac:dyDescent="0.35">
      <c r="A299" s="3"/>
      <c r="B299" s="9" t="s">
        <v>46</v>
      </c>
      <c r="C299" s="5"/>
      <c r="D299" s="6"/>
      <c r="E299" s="6"/>
      <c r="F299" s="87"/>
      <c r="G299" s="86" t="s">
        <v>63</v>
      </c>
      <c r="H299" s="6" t="s">
        <v>63</v>
      </c>
      <c r="I299" s="3"/>
    </row>
    <row r="300" spans="1:10" ht="14.5" x14ac:dyDescent="0.35">
      <c r="A300" s="3"/>
      <c r="B300" s="9" t="s">
        <v>47</v>
      </c>
      <c r="C300" s="5"/>
      <c r="D300" s="6"/>
      <c r="E300" s="6"/>
      <c r="F300" s="86" t="s">
        <v>63</v>
      </c>
      <c r="G300" s="86" t="s">
        <v>63</v>
      </c>
      <c r="H300" s="6" t="s">
        <v>63</v>
      </c>
      <c r="I300" s="3"/>
    </row>
    <row r="301" spans="1:10" ht="14.5" x14ac:dyDescent="0.35">
      <c r="A301" s="3"/>
      <c r="B301" s="9" t="s">
        <v>63</v>
      </c>
      <c r="C301" s="47" t="s">
        <v>63</v>
      </c>
      <c r="D301" s="86" t="s">
        <v>63</v>
      </c>
      <c r="E301" s="86" t="s">
        <v>63</v>
      </c>
      <c r="F301" s="86" t="s">
        <v>63</v>
      </c>
      <c r="G301" s="86" t="s">
        <v>63</v>
      </c>
      <c r="H301" s="6" t="s">
        <v>63</v>
      </c>
      <c r="I301" s="3"/>
    </row>
    <row r="302" spans="1:10" ht="14.5" x14ac:dyDescent="0.35">
      <c r="A302" s="3"/>
      <c r="B302" s="44" t="s">
        <v>67</v>
      </c>
      <c r="C302" s="45"/>
      <c r="D302" s="78"/>
      <c r="E302" s="78"/>
      <c r="F302" s="78"/>
      <c r="G302" s="78"/>
      <c r="H302" s="99"/>
      <c r="I302" s="3"/>
    </row>
    <row r="303" spans="1:10" ht="14.5" x14ac:dyDescent="0.35">
      <c r="A303" s="3"/>
      <c r="B303" s="44" t="s">
        <v>62</v>
      </c>
      <c r="C303" s="45"/>
      <c r="D303" s="78"/>
      <c r="E303" s="78" t="s">
        <v>63</v>
      </c>
      <c r="F303" s="78" t="s">
        <v>63</v>
      </c>
      <c r="G303" s="78" t="s">
        <v>63</v>
      </c>
      <c r="H303" s="99" t="s">
        <v>63</v>
      </c>
      <c r="I303" s="3"/>
    </row>
    <row r="304" spans="1:10" ht="14.5" x14ac:dyDescent="0.35">
      <c r="A304" s="3"/>
      <c r="B304" s="3"/>
      <c r="C304" s="46"/>
      <c r="D304" s="79"/>
      <c r="E304" s="79"/>
      <c r="F304" s="79"/>
      <c r="G304" s="79"/>
      <c r="H304" s="42"/>
      <c r="I304" s="3"/>
    </row>
    <row r="305" spans="1:11" ht="14.5" x14ac:dyDescent="0.35">
      <c r="A305" s="3"/>
      <c r="B305" s="3"/>
      <c r="C305" s="46"/>
      <c r="D305" s="79"/>
      <c r="E305" s="79"/>
      <c r="F305" s="79"/>
      <c r="G305" s="79"/>
      <c r="H305" s="42"/>
      <c r="I305" s="3"/>
    </row>
    <row r="306" spans="1:11" ht="16.5" customHeight="1" x14ac:dyDescent="0.45">
      <c r="A306" s="35"/>
      <c r="B306" s="36" t="s">
        <v>63</v>
      </c>
      <c r="C306" s="55" t="s">
        <v>63</v>
      </c>
      <c r="D306" s="183" t="s">
        <v>68</v>
      </c>
      <c r="E306" s="183"/>
      <c r="F306" s="183"/>
      <c r="G306" s="183"/>
      <c r="H306" s="183"/>
      <c r="I306" s="2" t="s">
        <v>0</v>
      </c>
    </row>
    <row r="307" spans="1:11" ht="15.9" customHeight="1" x14ac:dyDescent="0.4">
      <c r="A307" s="3"/>
      <c r="B307" s="124" t="s">
        <v>73</v>
      </c>
      <c r="C307" s="124"/>
      <c r="D307" s="124"/>
      <c r="E307" s="124"/>
      <c r="F307" s="124"/>
      <c r="G307" s="124"/>
      <c r="H307" s="124"/>
      <c r="I307" s="2" t="s">
        <v>1</v>
      </c>
    </row>
    <row r="308" spans="1:11" ht="14.5" x14ac:dyDescent="0.35">
      <c r="A308" s="3"/>
      <c r="B308" s="15"/>
      <c r="C308" s="16"/>
      <c r="D308" s="114" t="s">
        <v>7</v>
      </c>
      <c r="E308" s="115"/>
      <c r="F308" s="115"/>
      <c r="G308" s="176"/>
      <c r="H308" s="177" t="s">
        <v>63</v>
      </c>
      <c r="I308" s="2" t="s">
        <v>2</v>
      </c>
    </row>
    <row r="309" spans="1:11" ht="14.5" x14ac:dyDescent="0.35">
      <c r="A309" s="3"/>
      <c r="B309" s="13"/>
      <c r="C309" s="14"/>
      <c r="D309" s="121" t="s">
        <v>10</v>
      </c>
      <c r="E309" s="122"/>
      <c r="F309" s="122"/>
      <c r="G309" s="178"/>
      <c r="H309" s="177"/>
      <c r="I309" s="2" t="s">
        <v>3</v>
      </c>
    </row>
    <row r="310" spans="1:11" ht="14.5" x14ac:dyDescent="0.35">
      <c r="A310" s="3"/>
      <c r="B310" s="128" t="s">
        <v>11</v>
      </c>
      <c r="C310" s="130" t="s">
        <v>12</v>
      </c>
      <c r="D310" s="80" t="s">
        <v>13</v>
      </c>
      <c r="E310" s="80" t="s">
        <v>14</v>
      </c>
      <c r="F310" s="80" t="s">
        <v>15</v>
      </c>
      <c r="G310" s="81" t="s">
        <v>16</v>
      </c>
      <c r="H310" s="172" t="s">
        <v>63</v>
      </c>
      <c r="I310" s="2" t="s">
        <v>4</v>
      </c>
    </row>
    <row r="311" spans="1:11" ht="14.5" x14ac:dyDescent="0.35">
      <c r="A311" s="3"/>
      <c r="B311" s="129"/>
      <c r="C311" s="131"/>
      <c r="D311" s="141" t="s">
        <v>21</v>
      </c>
      <c r="E311" s="142"/>
      <c r="F311" s="142"/>
      <c r="G311" s="173"/>
      <c r="H311" s="172"/>
      <c r="I311" s="3"/>
    </row>
    <row r="312" spans="1:11" ht="14.5" x14ac:dyDescent="0.35">
      <c r="A312" s="3"/>
      <c r="B312" s="43">
        <v>4</v>
      </c>
      <c r="C312" s="56" t="s">
        <v>22</v>
      </c>
      <c r="D312" s="82">
        <v>76057.22</v>
      </c>
      <c r="E312" s="27">
        <v>0</v>
      </c>
      <c r="F312" s="83">
        <f>+E312+D312</f>
        <v>76057.22</v>
      </c>
      <c r="G312" s="84">
        <f>+F312</f>
        <v>76057.22</v>
      </c>
      <c r="H312" s="100" t="s">
        <v>63</v>
      </c>
      <c r="I312" s="3"/>
    </row>
    <row r="313" spans="1:11" ht="14.5" x14ac:dyDescent="0.35">
      <c r="A313" s="3"/>
      <c r="B313" s="50">
        <v>5</v>
      </c>
      <c r="C313" s="57" t="s">
        <v>23</v>
      </c>
      <c r="D313" s="82">
        <v>250508.2</v>
      </c>
      <c r="E313" s="27">
        <v>0</v>
      </c>
      <c r="F313" s="83">
        <f>+E313+D313</f>
        <v>250508.2</v>
      </c>
      <c r="G313" s="84">
        <f>+G312+F313</f>
        <v>326565.42000000004</v>
      </c>
      <c r="H313" s="100" t="s">
        <v>63</v>
      </c>
      <c r="I313" s="3"/>
    </row>
    <row r="314" spans="1:11" ht="14.5" x14ac:dyDescent="0.35">
      <c r="A314" s="3"/>
      <c r="B314" s="50">
        <v>6</v>
      </c>
      <c r="C314" s="57" t="s">
        <v>24</v>
      </c>
      <c r="D314" s="82">
        <v>106013.4</v>
      </c>
      <c r="E314" s="27">
        <v>0</v>
      </c>
      <c r="F314" s="83">
        <f>+E314+D314</f>
        <v>106013.4</v>
      </c>
      <c r="G314" s="84">
        <f>+G313+F314</f>
        <v>432578.82000000007</v>
      </c>
      <c r="H314" s="100" t="s">
        <v>63</v>
      </c>
      <c r="I314" s="3"/>
    </row>
    <row r="315" spans="1:11" ht="14.5" x14ac:dyDescent="0.35">
      <c r="A315" s="3"/>
      <c r="B315" s="50">
        <v>7</v>
      </c>
      <c r="C315" s="57" t="s">
        <v>25</v>
      </c>
      <c r="D315" s="82">
        <v>133685.13</v>
      </c>
      <c r="E315" s="27">
        <f>185390.63-133685.13</f>
        <v>51705.5</v>
      </c>
      <c r="F315" s="83">
        <f>+E315+D315</f>
        <v>185390.63</v>
      </c>
      <c r="G315" s="84">
        <f>+G314+F315</f>
        <v>617969.45000000007</v>
      </c>
      <c r="H315" s="100" t="s">
        <v>63</v>
      </c>
      <c r="I315" s="3"/>
    </row>
    <row r="316" spans="1:11" ht="14.5" x14ac:dyDescent="0.35">
      <c r="A316" s="3"/>
      <c r="B316" s="43">
        <v>8</v>
      </c>
      <c r="C316" s="41" t="s">
        <v>26</v>
      </c>
      <c r="D316" s="27">
        <v>222264.72</v>
      </c>
      <c r="E316" s="27">
        <v>0</v>
      </c>
      <c r="F316" s="83">
        <f>+E316+D316</f>
        <v>222264.72</v>
      </c>
      <c r="G316" s="84">
        <f>+G315+F316</f>
        <v>840234.17</v>
      </c>
      <c r="H316" s="100"/>
      <c r="I316" s="54"/>
      <c r="J316" s="3"/>
      <c r="K316" s="3"/>
    </row>
    <row r="317" spans="1:11" s="3" customFormat="1" ht="14.5" x14ac:dyDescent="0.35">
      <c r="B317" s="43">
        <v>9</v>
      </c>
      <c r="C317" s="41" t="s">
        <v>27</v>
      </c>
      <c r="D317" s="27">
        <v>218373.12</v>
      </c>
      <c r="E317" s="27">
        <v>0</v>
      </c>
      <c r="F317" s="65">
        <f t="shared" ref="F317:F334" si="16">+E317+D317</f>
        <v>218373.12</v>
      </c>
      <c r="G317" s="85">
        <f t="shared" ref="G317:G334" si="17">+G316+F317</f>
        <v>1058607.29</v>
      </c>
      <c r="H317" s="100"/>
      <c r="I317" s="60"/>
      <c r="J317" s="60"/>
    </row>
    <row r="318" spans="1:11" s="3" customFormat="1" ht="14.5" hidden="1" x14ac:dyDescent="0.35">
      <c r="B318" s="43">
        <v>10</v>
      </c>
      <c r="C318" s="41" t="s">
        <v>74</v>
      </c>
      <c r="D318" s="27"/>
      <c r="E318" s="27"/>
      <c r="F318" s="65">
        <f t="shared" si="16"/>
        <v>0</v>
      </c>
      <c r="G318" s="85">
        <f t="shared" si="17"/>
        <v>1058607.29</v>
      </c>
      <c r="H318" s="100"/>
      <c r="I318" s="60"/>
      <c r="J318" s="60"/>
    </row>
    <row r="319" spans="1:11" s="3" customFormat="1" ht="14.5" hidden="1" x14ac:dyDescent="0.35">
      <c r="B319" s="43">
        <v>11</v>
      </c>
      <c r="C319" s="41" t="s">
        <v>75</v>
      </c>
      <c r="D319" s="27"/>
      <c r="E319" s="27"/>
      <c r="F319" s="65">
        <f t="shared" si="16"/>
        <v>0</v>
      </c>
      <c r="G319" s="85">
        <f t="shared" si="17"/>
        <v>1058607.29</v>
      </c>
      <c r="H319" s="100"/>
      <c r="I319" s="60"/>
      <c r="J319" s="60"/>
    </row>
    <row r="320" spans="1:11" s="3" customFormat="1" ht="14.5" hidden="1" x14ac:dyDescent="0.35">
      <c r="B320" s="43">
        <v>12</v>
      </c>
      <c r="C320" s="41" t="s">
        <v>76</v>
      </c>
      <c r="D320" s="27"/>
      <c r="E320" s="27"/>
      <c r="F320" s="65">
        <f t="shared" si="16"/>
        <v>0</v>
      </c>
      <c r="G320" s="85">
        <f t="shared" si="17"/>
        <v>1058607.29</v>
      </c>
      <c r="H320" s="100"/>
      <c r="I320" s="60"/>
      <c r="J320" s="60"/>
    </row>
    <row r="321" spans="1:10" s="3" customFormat="1" ht="14.5" hidden="1" x14ac:dyDescent="0.35">
      <c r="B321" s="43">
        <v>13</v>
      </c>
      <c r="C321" s="41" t="s">
        <v>77</v>
      </c>
      <c r="D321" s="27"/>
      <c r="E321" s="27"/>
      <c r="F321" s="65">
        <f t="shared" si="16"/>
        <v>0</v>
      </c>
      <c r="G321" s="85">
        <f t="shared" si="17"/>
        <v>1058607.29</v>
      </c>
      <c r="H321" s="100"/>
      <c r="I321" s="60"/>
      <c r="J321" s="60"/>
    </row>
    <row r="322" spans="1:10" s="3" customFormat="1" ht="14.5" hidden="1" x14ac:dyDescent="0.35">
      <c r="B322" s="43">
        <v>14</v>
      </c>
      <c r="C322" s="104" t="s">
        <v>78</v>
      </c>
      <c r="D322" s="27"/>
      <c r="E322" s="27"/>
      <c r="F322" s="65">
        <f t="shared" si="16"/>
        <v>0</v>
      </c>
      <c r="G322" s="85">
        <f t="shared" si="17"/>
        <v>1058607.29</v>
      </c>
      <c r="H322" s="100"/>
      <c r="I322" s="60"/>
      <c r="J322" s="60"/>
    </row>
    <row r="323" spans="1:10" s="3" customFormat="1" ht="14.5" hidden="1" x14ac:dyDescent="0.35">
      <c r="B323" s="43">
        <v>15</v>
      </c>
      <c r="C323" s="41" t="s">
        <v>79</v>
      </c>
      <c r="D323" s="27"/>
      <c r="E323" s="27"/>
      <c r="F323" s="65">
        <f t="shared" si="16"/>
        <v>0</v>
      </c>
      <c r="G323" s="85">
        <f t="shared" si="17"/>
        <v>1058607.29</v>
      </c>
      <c r="H323" s="100"/>
      <c r="I323" s="60"/>
      <c r="J323" s="60"/>
    </row>
    <row r="324" spans="1:10" s="3" customFormat="1" ht="14.5" hidden="1" x14ac:dyDescent="0.35">
      <c r="B324" s="43">
        <v>16</v>
      </c>
      <c r="C324" s="41" t="s">
        <v>80</v>
      </c>
      <c r="D324" s="27"/>
      <c r="E324" s="27"/>
      <c r="F324" s="65">
        <f t="shared" si="16"/>
        <v>0</v>
      </c>
      <c r="G324" s="85">
        <f t="shared" si="17"/>
        <v>1058607.29</v>
      </c>
      <c r="H324" s="100"/>
      <c r="I324" s="60"/>
      <c r="J324" s="60"/>
    </row>
    <row r="325" spans="1:10" s="3" customFormat="1" ht="14.5" hidden="1" x14ac:dyDescent="0.35">
      <c r="B325" s="43">
        <v>17</v>
      </c>
      <c r="C325" s="41" t="s">
        <v>81</v>
      </c>
      <c r="D325" s="27"/>
      <c r="E325" s="27"/>
      <c r="F325" s="65">
        <f t="shared" si="16"/>
        <v>0</v>
      </c>
      <c r="G325" s="85">
        <f t="shared" si="17"/>
        <v>1058607.29</v>
      </c>
      <c r="H325" s="100"/>
      <c r="I325" s="60"/>
      <c r="J325" s="60"/>
    </row>
    <row r="326" spans="1:10" s="3" customFormat="1" ht="14.5" hidden="1" x14ac:dyDescent="0.35">
      <c r="B326" s="43">
        <v>18</v>
      </c>
      <c r="C326" s="41" t="s">
        <v>82</v>
      </c>
      <c r="D326" s="27"/>
      <c r="E326" s="27"/>
      <c r="F326" s="65">
        <f t="shared" si="16"/>
        <v>0</v>
      </c>
      <c r="G326" s="85">
        <f t="shared" si="17"/>
        <v>1058607.29</v>
      </c>
      <c r="H326" s="100"/>
      <c r="I326" s="60"/>
      <c r="J326" s="60"/>
    </row>
    <row r="327" spans="1:10" s="3" customFormat="1" ht="14.5" hidden="1" x14ac:dyDescent="0.35">
      <c r="B327" s="43">
        <v>19</v>
      </c>
      <c r="C327" s="41" t="s">
        <v>83</v>
      </c>
      <c r="D327" s="27"/>
      <c r="E327" s="27"/>
      <c r="F327" s="65">
        <f t="shared" si="16"/>
        <v>0</v>
      </c>
      <c r="G327" s="85">
        <f t="shared" si="17"/>
        <v>1058607.29</v>
      </c>
      <c r="H327" s="100"/>
      <c r="I327" s="60"/>
      <c r="J327" s="60"/>
    </row>
    <row r="328" spans="1:10" s="3" customFormat="1" ht="14.5" hidden="1" x14ac:dyDescent="0.35">
      <c r="B328" s="43">
        <v>20</v>
      </c>
      <c r="C328" s="41" t="s">
        <v>84</v>
      </c>
      <c r="D328" s="27"/>
      <c r="E328" s="27"/>
      <c r="F328" s="65">
        <f t="shared" si="16"/>
        <v>0</v>
      </c>
      <c r="G328" s="85">
        <f t="shared" si="17"/>
        <v>1058607.29</v>
      </c>
      <c r="H328" s="100"/>
      <c r="I328" s="60"/>
      <c r="J328" s="60"/>
    </row>
    <row r="329" spans="1:10" s="3" customFormat="1" ht="14.5" hidden="1" x14ac:dyDescent="0.35">
      <c r="B329" s="43">
        <v>21</v>
      </c>
      <c r="C329" s="41" t="s">
        <v>85</v>
      </c>
      <c r="D329" s="27"/>
      <c r="E329" s="27"/>
      <c r="F329" s="65">
        <f t="shared" si="16"/>
        <v>0</v>
      </c>
      <c r="G329" s="85">
        <f t="shared" si="17"/>
        <v>1058607.29</v>
      </c>
      <c r="H329" s="100"/>
      <c r="I329" s="60"/>
      <c r="J329" s="60"/>
    </row>
    <row r="330" spans="1:10" s="3" customFormat="1" ht="14.5" hidden="1" x14ac:dyDescent="0.35">
      <c r="B330" s="43">
        <v>22</v>
      </c>
      <c r="C330" s="41" t="s">
        <v>86</v>
      </c>
      <c r="D330" s="27"/>
      <c r="E330" s="27"/>
      <c r="F330" s="65">
        <f t="shared" si="16"/>
        <v>0</v>
      </c>
      <c r="G330" s="85">
        <f t="shared" si="17"/>
        <v>1058607.29</v>
      </c>
      <c r="H330" s="100"/>
      <c r="I330" s="60"/>
      <c r="J330" s="60"/>
    </row>
    <row r="331" spans="1:10" s="3" customFormat="1" ht="14.5" hidden="1" x14ac:dyDescent="0.35">
      <c r="B331" s="43">
        <v>23</v>
      </c>
      <c r="C331" s="41" t="s">
        <v>87</v>
      </c>
      <c r="D331" s="27"/>
      <c r="E331" s="27"/>
      <c r="F331" s="65">
        <f t="shared" si="16"/>
        <v>0</v>
      </c>
      <c r="G331" s="85">
        <f t="shared" si="17"/>
        <v>1058607.29</v>
      </c>
      <c r="H331" s="100"/>
      <c r="I331" s="60"/>
      <c r="J331" s="60"/>
    </row>
    <row r="332" spans="1:10" s="3" customFormat="1" ht="14.5" hidden="1" x14ac:dyDescent="0.35">
      <c r="B332" s="43">
        <v>24</v>
      </c>
      <c r="C332" s="41" t="s">
        <v>88</v>
      </c>
      <c r="D332" s="27"/>
      <c r="E332" s="27"/>
      <c r="F332" s="65">
        <f t="shared" si="16"/>
        <v>0</v>
      </c>
      <c r="G332" s="85">
        <f t="shared" si="17"/>
        <v>1058607.29</v>
      </c>
      <c r="H332" s="100"/>
      <c r="I332" s="60"/>
      <c r="J332" s="60"/>
    </row>
    <row r="333" spans="1:10" s="3" customFormat="1" ht="14.5" hidden="1" x14ac:dyDescent="0.35">
      <c r="B333" s="43">
        <v>25</v>
      </c>
      <c r="C333" s="105" t="s">
        <v>89</v>
      </c>
      <c r="D333" s="27"/>
      <c r="E333" s="27"/>
      <c r="F333" s="65">
        <f t="shared" si="16"/>
        <v>0</v>
      </c>
      <c r="G333" s="85">
        <f t="shared" si="17"/>
        <v>1058607.29</v>
      </c>
      <c r="H333" s="100"/>
      <c r="I333" s="60"/>
      <c r="J333" s="60"/>
    </row>
    <row r="334" spans="1:10" s="3" customFormat="1" ht="14.5" hidden="1" x14ac:dyDescent="0.35">
      <c r="B334" s="43">
        <v>26</v>
      </c>
      <c r="C334" s="105" t="s">
        <v>90</v>
      </c>
      <c r="D334" s="34"/>
      <c r="E334" s="34"/>
      <c r="F334" s="94">
        <f t="shared" si="16"/>
        <v>0</v>
      </c>
      <c r="G334" s="106">
        <f t="shared" si="17"/>
        <v>1058607.29</v>
      </c>
      <c r="H334" s="100"/>
      <c r="I334" s="60"/>
      <c r="J334" s="60"/>
    </row>
    <row r="335" spans="1:10" ht="14.5" x14ac:dyDescent="0.35">
      <c r="A335" s="3"/>
      <c r="B335" s="5" t="s">
        <v>63</v>
      </c>
      <c r="C335" s="47" t="s">
        <v>63</v>
      </c>
      <c r="D335" s="86" t="s">
        <v>63</v>
      </c>
      <c r="E335" s="86" t="s">
        <v>63</v>
      </c>
      <c r="F335" s="86" t="s">
        <v>63</v>
      </c>
      <c r="G335" s="86" t="s">
        <v>63</v>
      </c>
      <c r="H335" s="6" t="s">
        <v>63</v>
      </c>
      <c r="I335" s="3"/>
    </row>
    <row r="336" spans="1:10" ht="14.5" x14ac:dyDescent="0.35">
      <c r="A336" s="3"/>
      <c r="B336" s="8" t="s">
        <v>44</v>
      </c>
      <c r="C336" s="58"/>
      <c r="D336" s="86" t="s">
        <v>63</v>
      </c>
      <c r="E336" s="86" t="s">
        <v>63</v>
      </c>
      <c r="F336" s="86" t="s">
        <v>63</v>
      </c>
      <c r="G336" s="86" t="s">
        <v>63</v>
      </c>
      <c r="H336" s="6" t="s">
        <v>63</v>
      </c>
      <c r="I336" s="3"/>
    </row>
    <row r="337" spans="1:9" ht="14.5" x14ac:dyDescent="0.35">
      <c r="A337" s="3"/>
      <c r="B337" s="9" t="s">
        <v>45</v>
      </c>
      <c r="C337" s="5"/>
      <c r="D337" s="6"/>
      <c r="E337" s="6"/>
      <c r="F337" s="87"/>
      <c r="G337" s="87"/>
      <c r="H337" s="101"/>
      <c r="I337" s="3"/>
    </row>
    <row r="338" spans="1:9" ht="14.5" x14ac:dyDescent="0.35">
      <c r="A338" s="3"/>
      <c r="B338" s="9" t="s">
        <v>46</v>
      </c>
      <c r="C338" s="5"/>
      <c r="D338" s="6"/>
      <c r="E338" s="6"/>
      <c r="F338" s="87"/>
      <c r="G338" s="86" t="s">
        <v>63</v>
      </c>
      <c r="H338" s="6" t="s">
        <v>63</v>
      </c>
      <c r="I338" s="3"/>
    </row>
    <row r="339" spans="1:9" ht="14.5" x14ac:dyDescent="0.35">
      <c r="A339" s="3"/>
      <c r="B339" s="9" t="s">
        <v>47</v>
      </c>
      <c r="C339" s="5"/>
      <c r="D339" s="6"/>
      <c r="E339" s="6"/>
      <c r="F339" s="86" t="s">
        <v>63</v>
      </c>
      <c r="G339" s="86" t="s">
        <v>63</v>
      </c>
      <c r="H339" s="6" t="s">
        <v>63</v>
      </c>
      <c r="I339" s="3"/>
    </row>
    <row r="340" spans="1:9" ht="14.5" x14ac:dyDescent="0.35">
      <c r="A340" s="3"/>
      <c r="B340" s="9" t="s">
        <v>63</v>
      </c>
      <c r="C340" s="47" t="s">
        <v>63</v>
      </c>
      <c r="D340" s="86" t="s">
        <v>63</v>
      </c>
      <c r="E340" s="86" t="s">
        <v>63</v>
      </c>
      <c r="F340" s="86" t="s">
        <v>63</v>
      </c>
      <c r="G340" s="86" t="s">
        <v>63</v>
      </c>
      <c r="H340" s="6" t="s">
        <v>63</v>
      </c>
      <c r="I340" s="3"/>
    </row>
    <row r="341" spans="1:9" ht="14.5" x14ac:dyDescent="0.35">
      <c r="A341" s="3"/>
      <c r="B341" s="9" t="s">
        <v>63</v>
      </c>
      <c r="C341" s="47" t="s">
        <v>63</v>
      </c>
      <c r="D341" s="86" t="s">
        <v>63</v>
      </c>
      <c r="E341" s="86" t="s">
        <v>63</v>
      </c>
      <c r="F341" s="86" t="s">
        <v>63</v>
      </c>
      <c r="G341" s="86" t="s">
        <v>63</v>
      </c>
      <c r="H341" s="6" t="s">
        <v>63</v>
      </c>
      <c r="I341" s="3"/>
    </row>
    <row r="342" spans="1:9" ht="18.5" x14ac:dyDescent="0.45">
      <c r="A342" s="3"/>
      <c r="C342" s="48"/>
      <c r="D342" s="181" t="s">
        <v>48</v>
      </c>
      <c r="E342" s="181"/>
      <c r="F342" s="181"/>
      <c r="G342" s="181"/>
      <c r="H342" s="181"/>
      <c r="I342" s="3"/>
    </row>
    <row r="343" spans="1:9" ht="16" x14ac:dyDescent="0.4">
      <c r="A343" s="38"/>
      <c r="B343" s="28" t="s">
        <v>63</v>
      </c>
      <c r="C343" s="59" t="s">
        <v>63</v>
      </c>
      <c r="D343" s="182" t="s">
        <v>68</v>
      </c>
      <c r="E343" s="182"/>
      <c r="F343" s="182"/>
      <c r="G343" s="182"/>
      <c r="H343" s="182"/>
      <c r="I343" s="38"/>
    </row>
    <row r="344" spans="1:9" ht="15.9" customHeight="1" x14ac:dyDescent="0.4">
      <c r="A344" s="3"/>
      <c r="B344" s="124" t="s">
        <v>73</v>
      </c>
      <c r="C344" s="124"/>
      <c r="D344" s="124"/>
      <c r="E344" s="124"/>
      <c r="F344" s="124"/>
      <c r="G344" s="124"/>
      <c r="H344" s="124"/>
      <c r="I344" s="3"/>
    </row>
    <row r="345" spans="1:9" ht="14.5" x14ac:dyDescent="0.35">
      <c r="A345" s="3"/>
      <c r="B345" s="15"/>
      <c r="C345" s="16"/>
      <c r="D345" s="114" t="s">
        <v>7</v>
      </c>
      <c r="E345" s="115"/>
      <c r="F345" s="115"/>
      <c r="G345" s="176"/>
      <c r="H345" s="177" t="s">
        <v>63</v>
      </c>
      <c r="I345" s="3"/>
    </row>
    <row r="346" spans="1:9" ht="14.5" x14ac:dyDescent="0.35">
      <c r="A346" s="3"/>
      <c r="B346" s="13"/>
      <c r="C346" s="14"/>
      <c r="D346" s="121" t="s">
        <v>10</v>
      </c>
      <c r="E346" s="122"/>
      <c r="F346" s="122"/>
      <c r="G346" s="178"/>
      <c r="H346" s="177"/>
      <c r="I346" s="3"/>
    </row>
    <row r="347" spans="1:9" ht="14.5" x14ac:dyDescent="0.35">
      <c r="A347" s="3"/>
      <c r="B347" s="128" t="s">
        <v>11</v>
      </c>
      <c r="C347" s="130" t="s">
        <v>12</v>
      </c>
      <c r="D347" s="80" t="s">
        <v>13</v>
      </c>
      <c r="E347" s="80" t="s">
        <v>14</v>
      </c>
      <c r="F347" s="80" t="s">
        <v>15</v>
      </c>
      <c r="G347" s="81" t="s">
        <v>16</v>
      </c>
      <c r="H347" s="172" t="s">
        <v>63</v>
      </c>
      <c r="I347" s="3"/>
    </row>
    <row r="348" spans="1:9" ht="14.5" x14ac:dyDescent="0.35">
      <c r="A348" s="3"/>
      <c r="B348" s="129"/>
      <c r="C348" s="131"/>
      <c r="D348" s="141" t="s">
        <v>21</v>
      </c>
      <c r="E348" s="142"/>
      <c r="F348" s="142"/>
      <c r="G348" s="173"/>
      <c r="H348" s="172"/>
      <c r="I348" s="3"/>
    </row>
    <row r="349" spans="1:9" ht="14.5" x14ac:dyDescent="0.35">
      <c r="A349" s="3"/>
      <c r="B349" s="43">
        <v>4</v>
      </c>
      <c r="C349" s="56" t="s">
        <v>22</v>
      </c>
      <c r="D349" s="82">
        <v>37918.22</v>
      </c>
      <c r="E349" s="27">
        <v>0</v>
      </c>
      <c r="F349" s="83">
        <f>+E349+D349</f>
        <v>37918.22</v>
      </c>
      <c r="G349" s="84">
        <f>+F349</f>
        <v>37918.22</v>
      </c>
      <c r="H349" s="100" t="s">
        <v>63</v>
      </c>
      <c r="I349" s="3"/>
    </row>
    <row r="350" spans="1:9" ht="14.5" x14ac:dyDescent="0.35">
      <c r="A350" s="3"/>
      <c r="B350" s="50">
        <v>5</v>
      </c>
      <c r="C350" s="57" t="s">
        <v>23</v>
      </c>
      <c r="D350" s="82">
        <v>48259.5</v>
      </c>
      <c r="E350" s="27">
        <v>0</v>
      </c>
      <c r="F350" s="83">
        <f>+E350+D350</f>
        <v>48259.5</v>
      </c>
      <c r="G350" s="84">
        <f>+G349+F350</f>
        <v>86177.72</v>
      </c>
      <c r="H350" s="100" t="s">
        <v>63</v>
      </c>
      <c r="I350" s="3"/>
    </row>
    <row r="351" spans="1:9" ht="14.5" x14ac:dyDescent="0.35">
      <c r="A351" s="3"/>
      <c r="B351" s="50">
        <v>6</v>
      </c>
      <c r="C351" s="57" t="s">
        <v>24</v>
      </c>
      <c r="D351" s="82">
        <v>32894.22</v>
      </c>
      <c r="E351" s="27">
        <v>0</v>
      </c>
      <c r="F351" s="83">
        <f>+E351+D351</f>
        <v>32894.22</v>
      </c>
      <c r="G351" s="84">
        <f>+G350+F351</f>
        <v>119071.94</v>
      </c>
      <c r="H351" s="100" t="s">
        <v>63</v>
      </c>
      <c r="I351" s="3"/>
    </row>
    <row r="352" spans="1:9" ht="14.5" x14ac:dyDescent="0.35">
      <c r="A352" s="3"/>
      <c r="B352" s="50">
        <v>7</v>
      </c>
      <c r="C352" s="57" t="s">
        <v>25</v>
      </c>
      <c r="D352" s="82">
        <v>67457.5</v>
      </c>
      <c r="E352" s="27">
        <f>119163-67457.5</f>
        <v>51705.5</v>
      </c>
      <c r="F352" s="83">
        <f>+E352+D352</f>
        <v>119163</v>
      </c>
      <c r="G352" s="84">
        <f>+G351+F352</f>
        <v>238234.94</v>
      </c>
      <c r="H352" s="100" t="s">
        <v>63</v>
      </c>
      <c r="I352" s="3"/>
    </row>
    <row r="353" spans="1:11" ht="14.5" x14ac:dyDescent="0.35">
      <c r="A353" s="3"/>
      <c r="B353" s="43">
        <v>8</v>
      </c>
      <c r="C353" s="41" t="s">
        <v>26</v>
      </c>
      <c r="D353" s="27">
        <v>159519.04999999999</v>
      </c>
      <c r="E353" s="27">
        <v>0</v>
      </c>
      <c r="F353" s="83">
        <f>+E353+D353</f>
        <v>159519.04999999999</v>
      </c>
      <c r="G353" s="84">
        <f>+G352+F353</f>
        <v>397753.99</v>
      </c>
      <c r="H353" s="100"/>
      <c r="I353" s="10"/>
      <c r="J353" s="3"/>
      <c r="K353" s="3"/>
    </row>
    <row r="354" spans="1:11" s="3" customFormat="1" ht="14.5" x14ac:dyDescent="0.35">
      <c r="B354" s="43">
        <v>9</v>
      </c>
      <c r="C354" s="41" t="s">
        <v>27</v>
      </c>
      <c r="D354" s="27">
        <v>96343.51</v>
      </c>
      <c r="E354" s="27">
        <v>0</v>
      </c>
      <c r="F354" s="65">
        <f t="shared" ref="F354:F371" si="18">+E354+D354</f>
        <v>96343.51</v>
      </c>
      <c r="G354" s="85">
        <f t="shared" ref="G354:G371" si="19">+G353+F354</f>
        <v>494097.5</v>
      </c>
      <c r="H354" s="100"/>
      <c r="I354" s="60"/>
      <c r="J354" s="60"/>
    </row>
    <row r="355" spans="1:11" s="3" customFormat="1" ht="14.5" hidden="1" x14ac:dyDescent="0.35">
      <c r="B355" s="43">
        <v>10</v>
      </c>
      <c r="C355" s="41" t="s">
        <v>74</v>
      </c>
      <c r="D355" s="27"/>
      <c r="E355" s="27"/>
      <c r="F355" s="65">
        <f t="shared" si="18"/>
        <v>0</v>
      </c>
      <c r="G355" s="85">
        <f t="shared" si="19"/>
        <v>494097.5</v>
      </c>
      <c r="H355" s="100"/>
      <c r="I355" s="60"/>
      <c r="J355" s="60"/>
    </row>
    <row r="356" spans="1:11" s="3" customFormat="1" ht="14.5" hidden="1" x14ac:dyDescent="0.35">
      <c r="B356" s="43">
        <v>11</v>
      </c>
      <c r="C356" s="41" t="s">
        <v>75</v>
      </c>
      <c r="D356" s="27"/>
      <c r="E356" s="27"/>
      <c r="F356" s="65">
        <f t="shared" si="18"/>
        <v>0</v>
      </c>
      <c r="G356" s="85">
        <f t="shared" si="19"/>
        <v>494097.5</v>
      </c>
      <c r="H356" s="100"/>
      <c r="I356" s="60"/>
      <c r="J356" s="60"/>
    </row>
    <row r="357" spans="1:11" s="3" customFormat="1" ht="14.5" hidden="1" x14ac:dyDescent="0.35">
      <c r="B357" s="43">
        <v>12</v>
      </c>
      <c r="C357" s="41" t="s">
        <v>76</v>
      </c>
      <c r="D357" s="27"/>
      <c r="E357" s="27"/>
      <c r="F357" s="65">
        <f t="shared" si="18"/>
        <v>0</v>
      </c>
      <c r="G357" s="85">
        <f t="shared" si="19"/>
        <v>494097.5</v>
      </c>
      <c r="H357" s="100"/>
      <c r="I357" s="60"/>
      <c r="J357" s="60"/>
    </row>
    <row r="358" spans="1:11" s="3" customFormat="1" ht="14.5" hidden="1" x14ac:dyDescent="0.35">
      <c r="B358" s="43">
        <v>13</v>
      </c>
      <c r="C358" s="41" t="s">
        <v>77</v>
      </c>
      <c r="D358" s="27"/>
      <c r="E358" s="27"/>
      <c r="F358" s="65">
        <f t="shared" si="18"/>
        <v>0</v>
      </c>
      <c r="G358" s="85">
        <f t="shared" si="19"/>
        <v>494097.5</v>
      </c>
      <c r="H358" s="100"/>
      <c r="I358" s="60"/>
      <c r="J358" s="60"/>
    </row>
    <row r="359" spans="1:11" s="3" customFormat="1" ht="14.5" hidden="1" x14ac:dyDescent="0.35">
      <c r="B359" s="43">
        <v>14</v>
      </c>
      <c r="C359" s="104" t="s">
        <v>78</v>
      </c>
      <c r="D359" s="27"/>
      <c r="E359" s="27"/>
      <c r="F359" s="65">
        <f t="shared" si="18"/>
        <v>0</v>
      </c>
      <c r="G359" s="85">
        <f t="shared" si="19"/>
        <v>494097.5</v>
      </c>
      <c r="H359" s="100"/>
      <c r="I359" s="60"/>
      <c r="J359" s="60"/>
    </row>
    <row r="360" spans="1:11" s="3" customFormat="1" ht="14.5" hidden="1" x14ac:dyDescent="0.35">
      <c r="B360" s="43">
        <v>15</v>
      </c>
      <c r="C360" s="41" t="s">
        <v>79</v>
      </c>
      <c r="D360" s="27"/>
      <c r="E360" s="27"/>
      <c r="F360" s="65">
        <f t="shared" si="18"/>
        <v>0</v>
      </c>
      <c r="G360" s="85">
        <f t="shared" si="19"/>
        <v>494097.5</v>
      </c>
      <c r="H360" s="100"/>
      <c r="I360" s="60"/>
      <c r="J360" s="60"/>
    </row>
    <row r="361" spans="1:11" s="3" customFormat="1" ht="14.5" hidden="1" x14ac:dyDescent="0.35">
      <c r="B361" s="43">
        <v>16</v>
      </c>
      <c r="C361" s="41" t="s">
        <v>80</v>
      </c>
      <c r="D361" s="27"/>
      <c r="E361" s="27"/>
      <c r="F361" s="65">
        <f t="shared" si="18"/>
        <v>0</v>
      </c>
      <c r="G361" s="85">
        <f t="shared" si="19"/>
        <v>494097.5</v>
      </c>
      <c r="H361" s="100"/>
      <c r="I361" s="60"/>
      <c r="J361" s="60"/>
    </row>
    <row r="362" spans="1:11" s="3" customFormat="1" ht="14.5" hidden="1" x14ac:dyDescent="0.35">
      <c r="B362" s="43">
        <v>17</v>
      </c>
      <c r="C362" s="41" t="s">
        <v>81</v>
      </c>
      <c r="D362" s="27"/>
      <c r="E362" s="27"/>
      <c r="F362" s="65">
        <f t="shared" si="18"/>
        <v>0</v>
      </c>
      <c r="G362" s="85">
        <f t="shared" si="19"/>
        <v>494097.5</v>
      </c>
      <c r="H362" s="100"/>
      <c r="I362" s="60"/>
      <c r="J362" s="60"/>
    </row>
    <row r="363" spans="1:11" s="3" customFormat="1" ht="14.5" hidden="1" x14ac:dyDescent="0.35">
      <c r="B363" s="43">
        <v>18</v>
      </c>
      <c r="C363" s="41" t="s">
        <v>82</v>
      </c>
      <c r="D363" s="27"/>
      <c r="E363" s="27"/>
      <c r="F363" s="65">
        <f t="shared" si="18"/>
        <v>0</v>
      </c>
      <c r="G363" s="85">
        <f t="shared" si="19"/>
        <v>494097.5</v>
      </c>
      <c r="H363" s="100"/>
      <c r="I363" s="60"/>
      <c r="J363" s="60"/>
    </row>
    <row r="364" spans="1:11" s="3" customFormat="1" ht="14.5" hidden="1" x14ac:dyDescent="0.35">
      <c r="B364" s="43">
        <v>19</v>
      </c>
      <c r="C364" s="41" t="s">
        <v>83</v>
      </c>
      <c r="D364" s="27"/>
      <c r="E364" s="27"/>
      <c r="F364" s="65">
        <f t="shared" si="18"/>
        <v>0</v>
      </c>
      <c r="G364" s="85">
        <f t="shared" si="19"/>
        <v>494097.5</v>
      </c>
      <c r="H364" s="100"/>
      <c r="I364" s="60"/>
      <c r="J364" s="60"/>
    </row>
    <row r="365" spans="1:11" s="3" customFormat="1" ht="14.5" hidden="1" x14ac:dyDescent="0.35">
      <c r="B365" s="43">
        <v>20</v>
      </c>
      <c r="C365" s="41" t="s">
        <v>84</v>
      </c>
      <c r="D365" s="27"/>
      <c r="E365" s="27"/>
      <c r="F365" s="65">
        <f t="shared" si="18"/>
        <v>0</v>
      </c>
      <c r="G365" s="85">
        <f t="shared" si="19"/>
        <v>494097.5</v>
      </c>
      <c r="H365" s="100"/>
      <c r="I365" s="60"/>
      <c r="J365" s="60"/>
    </row>
    <row r="366" spans="1:11" s="3" customFormat="1" ht="14.5" hidden="1" x14ac:dyDescent="0.35">
      <c r="B366" s="43">
        <v>21</v>
      </c>
      <c r="C366" s="41" t="s">
        <v>85</v>
      </c>
      <c r="D366" s="27"/>
      <c r="E366" s="27"/>
      <c r="F366" s="65">
        <f t="shared" si="18"/>
        <v>0</v>
      </c>
      <c r="G366" s="85">
        <f t="shared" si="19"/>
        <v>494097.5</v>
      </c>
      <c r="H366" s="100"/>
      <c r="I366" s="60"/>
      <c r="J366" s="60"/>
    </row>
    <row r="367" spans="1:11" s="3" customFormat="1" ht="14.5" hidden="1" x14ac:dyDescent="0.35">
      <c r="B367" s="43">
        <v>22</v>
      </c>
      <c r="C367" s="41" t="s">
        <v>86</v>
      </c>
      <c r="D367" s="27"/>
      <c r="E367" s="27"/>
      <c r="F367" s="65">
        <f t="shared" si="18"/>
        <v>0</v>
      </c>
      <c r="G367" s="85">
        <f t="shared" si="19"/>
        <v>494097.5</v>
      </c>
      <c r="H367" s="100"/>
      <c r="I367" s="60"/>
      <c r="J367" s="60"/>
    </row>
    <row r="368" spans="1:11" s="3" customFormat="1" ht="14.5" hidden="1" x14ac:dyDescent="0.35">
      <c r="B368" s="43">
        <v>23</v>
      </c>
      <c r="C368" s="41" t="s">
        <v>87</v>
      </c>
      <c r="D368" s="27"/>
      <c r="E368" s="27"/>
      <c r="F368" s="65">
        <f t="shared" si="18"/>
        <v>0</v>
      </c>
      <c r="G368" s="85">
        <f t="shared" si="19"/>
        <v>494097.5</v>
      </c>
      <c r="H368" s="100"/>
      <c r="I368" s="60"/>
      <c r="J368" s="60"/>
    </row>
    <row r="369" spans="1:10" s="3" customFormat="1" ht="14.5" hidden="1" x14ac:dyDescent="0.35">
      <c r="B369" s="43">
        <v>24</v>
      </c>
      <c r="C369" s="41" t="s">
        <v>88</v>
      </c>
      <c r="D369" s="27"/>
      <c r="E369" s="27"/>
      <c r="F369" s="65">
        <f t="shared" si="18"/>
        <v>0</v>
      </c>
      <c r="G369" s="85">
        <f t="shared" si="19"/>
        <v>494097.5</v>
      </c>
      <c r="H369" s="100"/>
      <c r="I369" s="60"/>
      <c r="J369" s="60"/>
    </row>
    <row r="370" spans="1:10" s="3" customFormat="1" ht="14.5" hidden="1" x14ac:dyDescent="0.35">
      <c r="B370" s="43">
        <v>25</v>
      </c>
      <c r="C370" s="105" t="s">
        <v>89</v>
      </c>
      <c r="D370" s="27"/>
      <c r="E370" s="27"/>
      <c r="F370" s="65">
        <f t="shared" si="18"/>
        <v>0</v>
      </c>
      <c r="G370" s="85">
        <f t="shared" si="19"/>
        <v>494097.5</v>
      </c>
      <c r="H370" s="100"/>
      <c r="I370" s="60"/>
      <c r="J370" s="60"/>
    </row>
    <row r="371" spans="1:10" s="3" customFormat="1" ht="14.5" hidden="1" x14ac:dyDescent="0.35">
      <c r="B371" s="43">
        <v>26</v>
      </c>
      <c r="C371" s="105" t="s">
        <v>90</v>
      </c>
      <c r="D371" s="34"/>
      <c r="E371" s="34"/>
      <c r="F371" s="94">
        <f t="shared" si="18"/>
        <v>0</v>
      </c>
      <c r="G371" s="106">
        <f t="shared" si="19"/>
        <v>494097.5</v>
      </c>
      <c r="H371" s="100"/>
      <c r="I371" s="60"/>
      <c r="J371" s="60"/>
    </row>
    <row r="372" spans="1:10" ht="14.5" x14ac:dyDescent="0.35">
      <c r="A372" s="3"/>
      <c r="B372" s="5" t="s">
        <v>63</v>
      </c>
      <c r="C372" s="47" t="s">
        <v>63</v>
      </c>
      <c r="D372" s="86" t="s">
        <v>63</v>
      </c>
      <c r="E372" s="86" t="s">
        <v>63</v>
      </c>
      <c r="F372" s="86" t="s">
        <v>63</v>
      </c>
      <c r="G372" s="86" t="s">
        <v>63</v>
      </c>
      <c r="H372" s="6" t="s">
        <v>63</v>
      </c>
      <c r="I372" s="3"/>
    </row>
    <row r="373" spans="1:10" ht="14.5" x14ac:dyDescent="0.35">
      <c r="A373" s="3"/>
      <c r="B373" s="8" t="s">
        <v>44</v>
      </c>
      <c r="C373" s="58"/>
      <c r="D373" s="86" t="s">
        <v>63</v>
      </c>
      <c r="E373" s="86" t="s">
        <v>63</v>
      </c>
      <c r="F373" s="86" t="s">
        <v>63</v>
      </c>
      <c r="G373" s="86" t="s">
        <v>63</v>
      </c>
      <c r="H373" s="6" t="s">
        <v>63</v>
      </c>
      <c r="I373" s="3"/>
    </row>
    <row r="374" spans="1:10" ht="14.5" x14ac:dyDescent="0.35">
      <c r="A374" s="3"/>
      <c r="B374" s="9" t="s">
        <v>45</v>
      </c>
      <c r="C374" s="5"/>
      <c r="D374" s="6"/>
      <c r="E374" s="6"/>
      <c r="F374" s="87"/>
      <c r="G374" s="87"/>
      <c r="H374" s="101"/>
      <c r="I374" s="3"/>
    </row>
    <row r="375" spans="1:10" ht="14.5" x14ac:dyDescent="0.35">
      <c r="A375" s="3"/>
      <c r="B375" s="9" t="s">
        <v>46</v>
      </c>
      <c r="C375" s="5"/>
      <c r="D375" s="6"/>
      <c r="E375" s="6"/>
      <c r="F375" s="87"/>
      <c r="G375" s="86" t="s">
        <v>63</v>
      </c>
      <c r="H375" s="6" t="s">
        <v>63</v>
      </c>
      <c r="I375" s="3"/>
    </row>
    <row r="376" spans="1:10" ht="14.5" x14ac:dyDescent="0.35">
      <c r="A376" s="3"/>
      <c r="B376" s="9" t="s">
        <v>47</v>
      </c>
      <c r="C376" s="5"/>
      <c r="D376" s="6"/>
      <c r="E376" s="6"/>
      <c r="F376" s="86" t="s">
        <v>63</v>
      </c>
      <c r="G376" s="86" t="s">
        <v>63</v>
      </c>
      <c r="H376" s="6" t="s">
        <v>63</v>
      </c>
      <c r="I376" s="3"/>
    </row>
    <row r="377" spans="1:10" ht="14.5" x14ac:dyDescent="0.35">
      <c r="A377" s="3"/>
      <c r="B377" s="10"/>
      <c r="C377" s="48"/>
      <c r="D377" s="88"/>
      <c r="E377" s="88"/>
      <c r="F377" s="88"/>
      <c r="G377" s="88"/>
      <c r="H377" s="60"/>
      <c r="I377" s="3"/>
    </row>
    <row r="378" spans="1:10" ht="14.5" x14ac:dyDescent="0.35">
      <c r="A378" s="3"/>
      <c r="B378" s="10"/>
      <c r="C378" s="48"/>
      <c r="D378" s="88"/>
      <c r="E378" s="88"/>
      <c r="F378" s="88"/>
      <c r="G378" s="88"/>
      <c r="H378" s="60"/>
      <c r="I378" s="3"/>
    </row>
    <row r="379" spans="1:10" ht="18.5" x14ac:dyDescent="0.45">
      <c r="A379" s="3"/>
      <c r="C379" s="48"/>
      <c r="D379" s="179" t="s">
        <v>51</v>
      </c>
      <c r="E379" s="179"/>
      <c r="F379" s="179"/>
      <c r="G379" s="179"/>
      <c r="H379" s="179"/>
      <c r="I379" s="3"/>
    </row>
    <row r="380" spans="1:10" ht="16" x14ac:dyDescent="0.4">
      <c r="A380" s="38"/>
      <c r="B380" s="28" t="s">
        <v>63</v>
      </c>
      <c r="C380" s="59" t="s">
        <v>63</v>
      </c>
      <c r="D380" s="180" t="s">
        <v>68</v>
      </c>
      <c r="E380" s="180"/>
      <c r="F380" s="180"/>
      <c r="G380" s="180"/>
      <c r="H380" s="180"/>
      <c r="I380" s="38"/>
    </row>
    <row r="381" spans="1:10" ht="15.9" customHeight="1" x14ac:dyDescent="0.4">
      <c r="A381" s="3"/>
      <c r="B381" s="124" t="s">
        <v>73</v>
      </c>
      <c r="C381" s="124"/>
      <c r="D381" s="124"/>
      <c r="E381" s="124"/>
      <c r="F381" s="124"/>
      <c r="G381" s="124"/>
      <c r="H381" s="124"/>
      <c r="I381" s="3"/>
    </row>
    <row r="382" spans="1:10" ht="14.5" x14ac:dyDescent="0.35">
      <c r="A382" s="3"/>
      <c r="B382" s="15"/>
      <c r="C382" s="16"/>
      <c r="D382" s="114" t="s">
        <v>7</v>
      </c>
      <c r="E382" s="115"/>
      <c r="F382" s="115"/>
      <c r="G382" s="176"/>
      <c r="H382" s="177" t="s">
        <v>63</v>
      </c>
      <c r="I382" s="3"/>
    </row>
    <row r="383" spans="1:10" ht="14.5" x14ac:dyDescent="0.35">
      <c r="A383" s="3"/>
      <c r="B383" s="13"/>
      <c r="C383" s="14"/>
      <c r="D383" s="121" t="s">
        <v>10</v>
      </c>
      <c r="E383" s="122"/>
      <c r="F383" s="122"/>
      <c r="G383" s="178"/>
      <c r="H383" s="177"/>
      <c r="I383" s="3"/>
    </row>
    <row r="384" spans="1:10" ht="14.5" x14ac:dyDescent="0.35">
      <c r="A384" s="3"/>
      <c r="B384" s="128" t="s">
        <v>11</v>
      </c>
      <c r="C384" s="130" t="s">
        <v>12</v>
      </c>
      <c r="D384" s="80" t="s">
        <v>13</v>
      </c>
      <c r="E384" s="80" t="s">
        <v>14</v>
      </c>
      <c r="F384" s="80" t="s">
        <v>15</v>
      </c>
      <c r="G384" s="81" t="s">
        <v>16</v>
      </c>
      <c r="H384" s="172" t="s">
        <v>63</v>
      </c>
      <c r="I384" s="3"/>
    </row>
    <row r="385" spans="1:11" ht="14.5" x14ac:dyDescent="0.35">
      <c r="A385" s="3"/>
      <c r="B385" s="129"/>
      <c r="C385" s="131"/>
      <c r="D385" s="141" t="s">
        <v>21</v>
      </c>
      <c r="E385" s="142"/>
      <c r="F385" s="142"/>
      <c r="G385" s="173"/>
      <c r="H385" s="172"/>
      <c r="I385" s="3"/>
    </row>
    <row r="386" spans="1:11" ht="14.5" x14ac:dyDescent="0.35">
      <c r="A386" s="3"/>
      <c r="B386" s="43">
        <v>4</v>
      </c>
      <c r="C386" s="56" t="s">
        <v>22</v>
      </c>
      <c r="D386" s="27">
        <v>0</v>
      </c>
      <c r="E386" s="27">
        <v>0</v>
      </c>
      <c r="F386" s="27">
        <v>0</v>
      </c>
      <c r="G386" s="27">
        <v>0</v>
      </c>
      <c r="H386" s="100" t="s">
        <v>63</v>
      </c>
      <c r="I386" s="3"/>
    </row>
    <row r="387" spans="1:11" ht="14.5" x14ac:dyDescent="0.35">
      <c r="A387" s="3"/>
      <c r="B387" s="50">
        <v>5</v>
      </c>
      <c r="C387" s="57" t="s">
        <v>23</v>
      </c>
      <c r="D387" s="82">
        <v>174590.58</v>
      </c>
      <c r="E387" s="27">
        <v>0</v>
      </c>
      <c r="F387" s="83">
        <f>+E387+D387</f>
        <v>174590.58</v>
      </c>
      <c r="G387" s="84">
        <f>+F387</f>
        <v>174590.58</v>
      </c>
      <c r="H387" s="100" t="s">
        <v>63</v>
      </c>
      <c r="I387" s="3"/>
    </row>
    <row r="388" spans="1:11" ht="14.5" x14ac:dyDescent="0.35">
      <c r="A388" s="3"/>
      <c r="B388" s="50">
        <v>6</v>
      </c>
      <c r="C388" s="57" t="s">
        <v>24</v>
      </c>
      <c r="D388" s="82">
        <v>47440.58</v>
      </c>
      <c r="E388" s="27">
        <v>0</v>
      </c>
      <c r="F388" s="83">
        <f>+E388+D388</f>
        <v>47440.58</v>
      </c>
      <c r="G388" s="84">
        <f>+G387+F388</f>
        <v>222031.15999999997</v>
      </c>
      <c r="H388" s="100" t="s">
        <v>63</v>
      </c>
      <c r="I388" s="3"/>
    </row>
    <row r="389" spans="1:11" ht="14.5" x14ac:dyDescent="0.35">
      <c r="A389" s="3"/>
      <c r="B389" s="50">
        <v>7</v>
      </c>
      <c r="C389" s="57" t="s">
        <v>25</v>
      </c>
      <c r="D389" s="82">
        <v>50859.1</v>
      </c>
      <c r="E389" s="27">
        <v>0</v>
      </c>
      <c r="F389" s="83">
        <f>+E389+D389</f>
        <v>50859.1</v>
      </c>
      <c r="G389" s="84">
        <f>+G388+F389</f>
        <v>272890.25999999995</v>
      </c>
      <c r="H389" s="100" t="s">
        <v>63</v>
      </c>
      <c r="I389" s="3"/>
    </row>
    <row r="390" spans="1:11" ht="14.5" x14ac:dyDescent="0.35">
      <c r="A390" s="3"/>
      <c r="B390" s="43">
        <v>8</v>
      </c>
      <c r="C390" s="41" t="s">
        <v>26</v>
      </c>
      <c r="D390" s="27">
        <v>2954</v>
      </c>
      <c r="E390" s="27">
        <v>0</v>
      </c>
      <c r="F390" s="83">
        <f>+E390+D390</f>
        <v>2954</v>
      </c>
      <c r="G390" s="84">
        <f>+G389+F390</f>
        <v>275844.25999999995</v>
      </c>
      <c r="H390" s="100"/>
      <c r="I390" s="10"/>
      <c r="J390" s="3"/>
      <c r="K390" s="3"/>
    </row>
    <row r="391" spans="1:11" s="3" customFormat="1" ht="14.5" x14ac:dyDescent="0.35">
      <c r="B391" s="43">
        <v>9</v>
      </c>
      <c r="C391" s="41" t="s">
        <v>27</v>
      </c>
      <c r="D391" s="27">
        <v>58657.59</v>
      </c>
      <c r="E391" s="27">
        <v>0</v>
      </c>
      <c r="F391" s="65">
        <f t="shared" ref="F391:F408" si="20">+E391+D391</f>
        <v>58657.59</v>
      </c>
      <c r="G391" s="85">
        <f t="shared" ref="G391:G408" si="21">+G390+F391</f>
        <v>334501.84999999998</v>
      </c>
      <c r="H391" s="100"/>
      <c r="I391" s="60"/>
      <c r="J391" s="60"/>
    </row>
    <row r="392" spans="1:11" s="3" customFormat="1" ht="14.5" hidden="1" x14ac:dyDescent="0.35">
      <c r="B392" s="43">
        <v>10</v>
      </c>
      <c r="C392" s="41" t="s">
        <v>74</v>
      </c>
      <c r="D392" s="27"/>
      <c r="E392" s="27"/>
      <c r="F392" s="65">
        <f t="shared" si="20"/>
        <v>0</v>
      </c>
      <c r="G392" s="85">
        <f t="shared" si="21"/>
        <v>334501.84999999998</v>
      </c>
      <c r="H392" s="100"/>
      <c r="I392" s="60"/>
      <c r="J392" s="60"/>
    </row>
    <row r="393" spans="1:11" s="3" customFormat="1" ht="14.5" hidden="1" x14ac:dyDescent="0.35">
      <c r="B393" s="43">
        <v>11</v>
      </c>
      <c r="C393" s="41" t="s">
        <v>75</v>
      </c>
      <c r="D393" s="27"/>
      <c r="E393" s="27"/>
      <c r="F393" s="65">
        <f t="shared" si="20"/>
        <v>0</v>
      </c>
      <c r="G393" s="85">
        <f t="shared" si="21"/>
        <v>334501.84999999998</v>
      </c>
      <c r="H393" s="100"/>
      <c r="I393" s="60"/>
      <c r="J393" s="60"/>
    </row>
    <row r="394" spans="1:11" s="3" customFormat="1" ht="14.5" hidden="1" x14ac:dyDescent="0.35">
      <c r="B394" s="43">
        <v>12</v>
      </c>
      <c r="C394" s="41" t="s">
        <v>76</v>
      </c>
      <c r="D394" s="27"/>
      <c r="E394" s="27"/>
      <c r="F394" s="65">
        <f t="shared" si="20"/>
        <v>0</v>
      </c>
      <c r="G394" s="85">
        <f t="shared" si="21"/>
        <v>334501.84999999998</v>
      </c>
      <c r="H394" s="100"/>
      <c r="I394" s="60"/>
      <c r="J394" s="60"/>
    </row>
    <row r="395" spans="1:11" s="3" customFormat="1" ht="14.5" hidden="1" x14ac:dyDescent="0.35">
      <c r="B395" s="43">
        <v>13</v>
      </c>
      <c r="C395" s="41" t="s">
        <v>77</v>
      </c>
      <c r="D395" s="27"/>
      <c r="E395" s="27"/>
      <c r="F395" s="65">
        <f t="shared" si="20"/>
        <v>0</v>
      </c>
      <c r="G395" s="85">
        <f t="shared" si="21"/>
        <v>334501.84999999998</v>
      </c>
      <c r="H395" s="100"/>
      <c r="I395" s="60"/>
      <c r="J395" s="60"/>
    </row>
    <row r="396" spans="1:11" s="3" customFormat="1" ht="14.5" hidden="1" x14ac:dyDescent="0.35">
      <c r="B396" s="43">
        <v>14</v>
      </c>
      <c r="C396" s="104" t="s">
        <v>78</v>
      </c>
      <c r="D396" s="27"/>
      <c r="E396" s="27"/>
      <c r="F396" s="65">
        <f t="shared" si="20"/>
        <v>0</v>
      </c>
      <c r="G396" s="85">
        <f t="shared" si="21"/>
        <v>334501.84999999998</v>
      </c>
      <c r="H396" s="100"/>
      <c r="I396" s="60"/>
      <c r="J396" s="60"/>
    </row>
    <row r="397" spans="1:11" s="3" customFormat="1" ht="14.5" hidden="1" x14ac:dyDescent="0.35">
      <c r="B397" s="43">
        <v>15</v>
      </c>
      <c r="C397" s="41" t="s">
        <v>79</v>
      </c>
      <c r="D397" s="27"/>
      <c r="E397" s="27"/>
      <c r="F397" s="65">
        <f t="shared" si="20"/>
        <v>0</v>
      </c>
      <c r="G397" s="85">
        <f t="shared" si="21"/>
        <v>334501.84999999998</v>
      </c>
      <c r="H397" s="100"/>
      <c r="I397" s="60"/>
      <c r="J397" s="60"/>
    </row>
    <row r="398" spans="1:11" s="3" customFormat="1" ht="14.5" hidden="1" x14ac:dyDescent="0.35">
      <c r="B398" s="43">
        <v>16</v>
      </c>
      <c r="C398" s="41" t="s">
        <v>80</v>
      </c>
      <c r="D398" s="27"/>
      <c r="E398" s="27"/>
      <c r="F398" s="65">
        <f t="shared" si="20"/>
        <v>0</v>
      </c>
      <c r="G398" s="85">
        <f t="shared" si="21"/>
        <v>334501.84999999998</v>
      </c>
      <c r="H398" s="100"/>
      <c r="I398" s="60"/>
      <c r="J398" s="60"/>
    </row>
    <row r="399" spans="1:11" s="3" customFormat="1" ht="14.5" hidden="1" x14ac:dyDescent="0.35">
      <c r="B399" s="43">
        <v>17</v>
      </c>
      <c r="C399" s="41" t="s">
        <v>81</v>
      </c>
      <c r="D399" s="27"/>
      <c r="E399" s="27"/>
      <c r="F399" s="65">
        <f t="shared" si="20"/>
        <v>0</v>
      </c>
      <c r="G399" s="85">
        <f t="shared" si="21"/>
        <v>334501.84999999998</v>
      </c>
      <c r="H399" s="100"/>
      <c r="I399" s="60"/>
      <c r="J399" s="60"/>
    </row>
    <row r="400" spans="1:11" s="3" customFormat="1" ht="14.5" hidden="1" x14ac:dyDescent="0.35">
      <c r="B400" s="43">
        <v>18</v>
      </c>
      <c r="C400" s="41" t="s">
        <v>82</v>
      </c>
      <c r="D400" s="27"/>
      <c r="E400" s="27"/>
      <c r="F400" s="65">
        <f t="shared" si="20"/>
        <v>0</v>
      </c>
      <c r="G400" s="85">
        <f t="shared" si="21"/>
        <v>334501.84999999998</v>
      </c>
      <c r="H400" s="100"/>
      <c r="I400" s="60"/>
      <c r="J400" s="60"/>
    </row>
    <row r="401" spans="1:10" s="3" customFormat="1" ht="14.5" hidden="1" x14ac:dyDescent="0.35">
      <c r="B401" s="43">
        <v>19</v>
      </c>
      <c r="C401" s="41" t="s">
        <v>83</v>
      </c>
      <c r="D401" s="27"/>
      <c r="E401" s="27"/>
      <c r="F401" s="65">
        <f t="shared" si="20"/>
        <v>0</v>
      </c>
      <c r="G401" s="85">
        <f t="shared" si="21"/>
        <v>334501.84999999998</v>
      </c>
      <c r="H401" s="100"/>
      <c r="I401" s="60"/>
      <c r="J401" s="60"/>
    </row>
    <row r="402" spans="1:10" s="3" customFormat="1" ht="14.5" hidden="1" x14ac:dyDescent="0.35">
      <c r="B402" s="43">
        <v>20</v>
      </c>
      <c r="C402" s="41" t="s">
        <v>84</v>
      </c>
      <c r="D402" s="27"/>
      <c r="E402" s="27"/>
      <c r="F402" s="65">
        <f t="shared" si="20"/>
        <v>0</v>
      </c>
      <c r="G402" s="85">
        <f t="shared" si="21"/>
        <v>334501.84999999998</v>
      </c>
      <c r="H402" s="100"/>
      <c r="I402" s="60"/>
      <c r="J402" s="60"/>
    </row>
    <row r="403" spans="1:10" s="3" customFormat="1" ht="14.5" hidden="1" x14ac:dyDescent="0.35">
      <c r="B403" s="43">
        <v>21</v>
      </c>
      <c r="C403" s="41" t="s">
        <v>85</v>
      </c>
      <c r="D403" s="27"/>
      <c r="E403" s="27"/>
      <c r="F403" s="65">
        <f t="shared" si="20"/>
        <v>0</v>
      </c>
      <c r="G403" s="85">
        <f t="shared" si="21"/>
        <v>334501.84999999998</v>
      </c>
      <c r="H403" s="100"/>
      <c r="I403" s="60"/>
      <c r="J403" s="60"/>
    </row>
    <row r="404" spans="1:10" s="3" customFormat="1" ht="14.5" hidden="1" x14ac:dyDescent="0.35">
      <c r="B404" s="43">
        <v>22</v>
      </c>
      <c r="C404" s="41" t="s">
        <v>86</v>
      </c>
      <c r="D404" s="27"/>
      <c r="E404" s="27"/>
      <c r="F404" s="65">
        <f t="shared" si="20"/>
        <v>0</v>
      </c>
      <c r="G404" s="85">
        <f t="shared" si="21"/>
        <v>334501.84999999998</v>
      </c>
      <c r="H404" s="100"/>
      <c r="I404" s="60"/>
      <c r="J404" s="60"/>
    </row>
    <row r="405" spans="1:10" s="3" customFormat="1" ht="14.5" hidden="1" x14ac:dyDescent="0.35">
      <c r="B405" s="43">
        <v>23</v>
      </c>
      <c r="C405" s="41" t="s">
        <v>87</v>
      </c>
      <c r="D405" s="27"/>
      <c r="E405" s="27"/>
      <c r="F405" s="65">
        <f t="shared" si="20"/>
        <v>0</v>
      </c>
      <c r="G405" s="85">
        <f t="shared" si="21"/>
        <v>334501.84999999998</v>
      </c>
      <c r="H405" s="100"/>
      <c r="I405" s="60"/>
      <c r="J405" s="60"/>
    </row>
    <row r="406" spans="1:10" s="3" customFormat="1" ht="14.5" hidden="1" x14ac:dyDescent="0.35">
      <c r="B406" s="43">
        <v>24</v>
      </c>
      <c r="C406" s="41" t="s">
        <v>88</v>
      </c>
      <c r="D406" s="27"/>
      <c r="E406" s="27"/>
      <c r="F406" s="65">
        <f t="shared" si="20"/>
        <v>0</v>
      </c>
      <c r="G406" s="85">
        <f t="shared" si="21"/>
        <v>334501.84999999998</v>
      </c>
      <c r="H406" s="100"/>
      <c r="I406" s="60"/>
      <c r="J406" s="60"/>
    </row>
    <row r="407" spans="1:10" s="3" customFormat="1" ht="14.5" hidden="1" x14ac:dyDescent="0.35">
      <c r="B407" s="43">
        <v>25</v>
      </c>
      <c r="C407" s="105" t="s">
        <v>89</v>
      </c>
      <c r="D407" s="27"/>
      <c r="E407" s="27"/>
      <c r="F407" s="65">
        <f t="shared" si="20"/>
        <v>0</v>
      </c>
      <c r="G407" s="85">
        <f t="shared" si="21"/>
        <v>334501.84999999998</v>
      </c>
      <c r="H407" s="100"/>
      <c r="I407" s="60"/>
      <c r="J407" s="60"/>
    </row>
    <row r="408" spans="1:10" s="3" customFormat="1" ht="14.5" hidden="1" x14ac:dyDescent="0.35">
      <c r="B408" s="43">
        <v>26</v>
      </c>
      <c r="C408" s="105" t="s">
        <v>90</v>
      </c>
      <c r="D408" s="34"/>
      <c r="E408" s="34"/>
      <c r="F408" s="94">
        <f t="shared" si="20"/>
        <v>0</v>
      </c>
      <c r="G408" s="106">
        <f t="shared" si="21"/>
        <v>334501.84999999998</v>
      </c>
      <c r="H408" s="100"/>
      <c r="I408" s="60"/>
      <c r="J408" s="60"/>
    </row>
    <row r="409" spans="1:10" ht="14.5" x14ac:dyDescent="0.35">
      <c r="A409" s="3"/>
      <c r="B409" s="5" t="s">
        <v>63</v>
      </c>
      <c r="C409" s="47" t="s">
        <v>63</v>
      </c>
      <c r="D409" s="86" t="s">
        <v>63</v>
      </c>
      <c r="E409" s="86" t="s">
        <v>63</v>
      </c>
      <c r="F409" s="86" t="s">
        <v>63</v>
      </c>
      <c r="G409" s="86" t="s">
        <v>63</v>
      </c>
      <c r="H409" s="6" t="s">
        <v>63</v>
      </c>
      <c r="I409" s="3"/>
    </row>
    <row r="410" spans="1:10" ht="14.5" x14ac:dyDescent="0.35">
      <c r="A410" s="3"/>
      <c r="B410" s="8" t="s">
        <v>44</v>
      </c>
      <c r="C410" s="58"/>
      <c r="D410" s="86" t="s">
        <v>63</v>
      </c>
      <c r="E410" s="86" t="s">
        <v>63</v>
      </c>
      <c r="F410" s="86" t="s">
        <v>63</v>
      </c>
      <c r="G410" s="86" t="s">
        <v>63</v>
      </c>
      <c r="H410" s="6" t="s">
        <v>63</v>
      </c>
      <c r="I410" s="3"/>
    </row>
    <row r="411" spans="1:10" ht="14.5" x14ac:dyDescent="0.35">
      <c r="A411" s="3"/>
      <c r="B411" s="9" t="s">
        <v>45</v>
      </c>
      <c r="C411" s="5"/>
      <c r="D411" s="6"/>
      <c r="E411" s="6"/>
      <c r="F411" s="87"/>
      <c r="G411" s="87"/>
      <c r="H411" s="101"/>
      <c r="I411" s="3"/>
    </row>
    <row r="412" spans="1:10" ht="14.5" x14ac:dyDescent="0.35">
      <c r="A412" s="3"/>
      <c r="B412" s="9" t="s">
        <v>46</v>
      </c>
      <c r="C412" s="5"/>
      <c r="D412" s="6"/>
      <c r="E412" s="6"/>
      <c r="F412" s="87"/>
      <c r="G412" s="86" t="s">
        <v>63</v>
      </c>
      <c r="H412" s="6" t="s">
        <v>63</v>
      </c>
      <c r="I412" s="3"/>
    </row>
    <row r="413" spans="1:10" ht="14.5" x14ac:dyDescent="0.35">
      <c r="A413" s="3"/>
      <c r="B413" s="9" t="s">
        <v>47</v>
      </c>
      <c r="C413" s="5"/>
      <c r="D413" s="6"/>
      <c r="E413" s="6"/>
      <c r="F413" s="86" t="s">
        <v>63</v>
      </c>
      <c r="G413" s="86" t="s">
        <v>63</v>
      </c>
      <c r="H413" s="6" t="s">
        <v>63</v>
      </c>
      <c r="I413" s="3"/>
    </row>
    <row r="414" spans="1:10" ht="14.5" x14ac:dyDescent="0.35">
      <c r="A414" s="3"/>
      <c r="B414" s="3"/>
      <c r="C414" s="46"/>
      <c r="D414" s="79"/>
      <c r="E414" s="79"/>
      <c r="F414" s="79"/>
      <c r="G414" s="79"/>
      <c r="H414" s="42"/>
      <c r="I414" s="3"/>
    </row>
    <row r="415" spans="1:10" ht="14.5" x14ac:dyDescent="0.35">
      <c r="A415" s="3"/>
      <c r="B415" s="3"/>
      <c r="C415" s="46"/>
      <c r="D415" s="79"/>
      <c r="E415" s="79"/>
      <c r="F415" s="79"/>
      <c r="G415" s="79"/>
      <c r="H415" s="42"/>
      <c r="I415" s="3"/>
    </row>
    <row r="416" spans="1:10" ht="18.5" x14ac:dyDescent="0.45">
      <c r="A416" s="3"/>
      <c r="C416" s="48"/>
      <c r="D416" s="174" t="s">
        <v>52</v>
      </c>
      <c r="E416" s="174"/>
      <c r="F416" s="174"/>
      <c r="G416" s="174"/>
      <c r="H416" s="174"/>
      <c r="I416" s="3"/>
    </row>
    <row r="417" spans="1:11" ht="16" x14ac:dyDescent="0.4">
      <c r="A417" s="38"/>
      <c r="B417" s="28" t="s">
        <v>63</v>
      </c>
      <c r="C417" s="59" t="s">
        <v>63</v>
      </c>
      <c r="D417" s="175" t="s">
        <v>68</v>
      </c>
      <c r="E417" s="175"/>
      <c r="F417" s="175"/>
      <c r="G417" s="175"/>
      <c r="H417" s="175"/>
      <c r="I417" s="38"/>
    </row>
    <row r="418" spans="1:11" ht="15.9" customHeight="1" x14ac:dyDescent="0.4">
      <c r="A418" s="3"/>
      <c r="B418" s="124" t="s">
        <v>73</v>
      </c>
      <c r="C418" s="124"/>
      <c r="D418" s="124"/>
      <c r="E418" s="124"/>
      <c r="F418" s="124"/>
      <c r="G418" s="124"/>
      <c r="H418" s="124"/>
      <c r="I418" s="3"/>
    </row>
    <row r="419" spans="1:11" ht="14.5" x14ac:dyDescent="0.35">
      <c r="A419" s="3"/>
      <c r="B419" s="15"/>
      <c r="C419" s="16"/>
      <c r="D419" s="114" t="s">
        <v>7</v>
      </c>
      <c r="E419" s="115"/>
      <c r="F419" s="115"/>
      <c r="G419" s="176"/>
      <c r="H419" s="177" t="s">
        <v>63</v>
      </c>
      <c r="I419" s="3"/>
    </row>
    <row r="420" spans="1:11" ht="14.5" x14ac:dyDescent="0.35">
      <c r="A420" s="3"/>
      <c r="B420" s="13"/>
      <c r="C420" s="14"/>
      <c r="D420" s="121" t="s">
        <v>10</v>
      </c>
      <c r="E420" s="122"/>
      <c r="F420" s="122"/>
      <c r="G420" s="178"/>
      <c r="H420" s="177"/>
      <c r="I420" s="3"/>
    </row>
    <row r="421" spans="1:11" ht="14.5" x14ac:dyDescent="0.35">
      <c r="A421" s="3"/>
      <c r="B421" s="128" t="s">
        <v>11</v>
      </c>
      <c r="C421" s="130" t="s">
        <v>12</v>
      </c>
      <c r="D421" s="80" t="s">
        <v>13</v>
      </c>
      <c r="E421" s="80" t="s">
        <v>14</v>
      </c>
      <c r="F421" s="80" t="s">
        <v>15</v>
      </c>
      <c r="G421" s="81" t="s">
        <v>16</v>
      </c>
      <c r="H421" s="172" t="s">
        <v>63</v>
      </c>
      <c r="I421" s="3"/>
    </row>
    <row r="422" spans="1:11" ht="14.5" x14ac:dyDescent="0.35">
      <c r="A422" s="3"/>
      <c r="B422" s="129"/>
      <c r="C422" s="131"/>
      <c r="D422" s="141" t="s">
        <v>21</v>
      </c>
      <c r="E422" s="142"/>
      <c r="F422" s="142"/>
      <c r="G422" s="173"/>
      <c r="H422" s="172"/>
      <c r="I422" s="3"/>
    </row>
    <row r="423" spans="1:11" ht="14.5" x14ac:dyDescent="0.35">
      <c r="A423" s="3"/>
      <c r="B423" s="43">
        <v>4</v>
      </c>
      <c r="C423" s="56" t="s">
        <v>22</v>
      </c>
      <c r="D423" s="82">
        <v>38139</v>
      </c>
      <c r="E423" s="27">
        <v>0</v>
      </c>
      <c r="F423" s="83">
        <f>+E423+D423</f>
        <v>38139</v>
      </c>
      <c r="G423" s="84">
        <f>+F423</f>
        <v>38139</v>
      </c>
      <c r="H423" s="100" t="s">
        <v>63</v>
      </c>
      <c r="I423" s="3"/>
    </row>
    <row r="424" spans="1:11" ht="14.5" x14ac:dyDescent="0.35">
      <c r="A424" s="3"/>
      <c r="B424" s="50">
        <v>5</v>
      </c>
      <c r="C424" s="57" t="s">
        <v>23</v>
      </c>
      <c r="D424" s="82">
        <v>27658.04</v>
      </c>
      <c r="E424" s="27">
        <v>0</v>
      </c>
      <c r="F424" s="83">
        <f>+E424+D424</f>
        <v>27658.04</v>
      </c>
      <c r="G424" s="84">
        <f>+G423+F424</f>
        <v>65797.040000000008</v>
      </c>
      <c r="H424" s="100" t="s">
        <v>63</v>
      </c>
      <c r="I424" s="3"/>
    </row>
    <row r="425" spans="1:11" ht="14.5" x14ac:dyDescent="0.35">
      <c r="A425" s="3"/>
      <c r="B425" s="50">
        <v>6</v>
      </c>
      <c r="C425" s="57" t="s">
        <v>24</v>
      </c>
      <c r="D425" s="82">
        <v>25678.6</v>
      </c>
      <c r="E425" s="27">
        <v>0</v>
      </c>
      <c r="F425" s="83">
        <f>+E425+D425</f>
        <v>25678.6</v>
      </c>
      <c r="G425" s="84">
        <f>+G424+F425</f>
        <v>91475.640000000014</v>
      </c>
      <c r="H425" s="100" t="s">
        <v>63</v>
      </c>
      <c r="I425" s="3"/>
    </row>
    <row r="426" spans="1:11" ht="14.5" x14ac:dyDescent="0.35">
      <c r="A426" s="3"/>
      <c r="B426" s="50">
        <v>7</v>
      </c>
      <c r="C426" s="57" t="s">
        <v>25</v>
      </c>
      <c r="D426" s="82">
        <v>15368.53</v>
      </c>
      <c r="E426" s="27">
        <v>0</v>
      </c>
      <c r="F426" s="83">
        <f>+E426+D426</f>
        <v>15368.53</v>
      </c>
      <c r="G426" s="84">
        <f>+G425+F426</f>
        <v>106844.17000000001</v>
      </c>
      <c r="H426" s="100" t="s">
        <v>63</v>
      </c>
      <c r="I426" s="3"/>
    </row>
    <row r="427" spans="1:11" ht="14.5" x14ac:dyDescent="0.35">
      <c r="A427" s="3"/>
      <c r="B427" s="43">
        <v>8</v>
      </c>
      <c r="C427" s="41" t="s">
        <v>26</v>
      </c>
      <c r="D427" s="27">
        <v>59791.67</v>
      </c>
      <c r="E427" s="27">
        <v>0</v>
      </c>
      <c r="F427" s="83">
        <f>+E427+D427</f>
        <v>59791.67</v>
      </c>
      <c r="G427" s="84">
        <f>+G426+F427</f>
        <v>166635.84000000003</v>
      </c>
      <c r="H427" s="100"/>
      <c r="I427" s="10"/>
      <c r="J427" s="3"/>
      <c r="K427" s="3"/>
    </row>
    <row r="428" spans="1:11" s="3" customFormat="1" ht="14.5" x14ac:dyDescent="0.35">
      <c r="B428" s="43">
        <v>9</v>
      </c>
      <c r="C428" s="41" t="s">
        <v>27</v>
      </c>
      <c r="D428" s="27">
        <v>63372.02</v>
      </c>
      <c r="E428" s="27">
        <v>0</v>
      </c>
      <c r="F428" s="65">
        <f t="shared" ref="F428:F445" si="22">+E428+D428</f>
        <v>63372.02</v>
      </c>
      <c r="G428" s="85">
        <f t="shared" ref="G428:G445" si="23">+G427+F428</f>
        <v>230007.86000000002</v>
      </c>
      <c r="H428" s="100"/>
      <c r="I428" s="60"/>
      <c r="J428" s="60"/>
    </row>
    <row r="429" spans="1:11" s="3" customFormat="1" ht="14.5" hidden="1" x14ac:dyDescent="0.35">
      <c r="B429" s="43">
        <v>10</v>
      </c>
      <c r="C429" s="41" t="s">
        <v>74</v>
      </c>
      <c r="D429" s="27"/>
      <c r="E429" s="27"/>
      <c r="F429" s="65">
        <f t="shared" si="22"/>
        <v>0</v>
      </c>
      <c r="G429" s="85">
        <f t="shared" si="23"/>
        <v>230007.86000000002</v>
      </c>
      <c r="H429" s="100"/>
      <c r="I429" s="60"/>
      <c r="J429" s="60"/>
    </row>
    <row r="430" spans="1:11" s="3" customFormat="1" ht="14.5" hidden="1" x14ac:dyDescent="0.35">
      <c r="B430" s="43">
        <v>11</v>
      </c>
      <c r="C430" s="41" t="s">
        <v>75</v>
      </c>
      <c r="D430" s="27"/>
      <c r="E430" s="27"/>
      <c r="F430" s="65">
        <f t="shared" si="22"/>
        <v>0</v>
      </c>
      <c r="G430" s="85">
        <f t="shared" si="23"/>
        <v>230007.86000000002</v>
      </c>
      <c r="H430" s="100"/>
      <c r="I430" s="60"/>
      <c r="J430" s="60"/>
    </row>
    <row r="431" spans="1:11" s="3" customFormat="1" ht="14.5" hidden="1" x14ac:dyDescent="0.35">
      <c r="B431" s="43">
        <v>12</v>
      </c>
      <c r="C431" s="41" t="s">
        <v>76</v>
      </c>
      <c r="D431" s="27"/>
      <c r="E431" s="27"/>
      <c r="F431" s="65">
        <f t="shared" si="22"/>
        <v>0</v>
      </c>
      <c r="G431" s="85">
        <f t="shared" si="23"/>
        <v>230007.86000000002</v>
      </c>
      <c r="H431" s="100"/>
      <c r="I431" s="60"/>
      <c r="J431" s="60"/>
    </row>
    <row r="432" spans="1:11" s="3" customFormat="1" ht="14.5" hidden="1" x14ac:dyDescent="0.35">
      <c r="B432" s="43">
        <v>13</v>
      </c>
      <c r="C432" s="41" t="s">
        <v>77</v>
      </c>
      <c r="D432" s="27"/>
      <c r="E432" s="27"/>
      <c r="F432" s="65">
        <f t="shared" si="22"/>
        <v>0</v>
      </c>
      <c r="G432" s="85">
        <f t="shared" si="23"/>
        <v>230007.86000000002</v>
      </c>
      <c r="H432" s="100"/>
      <c r="I432" s="60"/>
      <c r="J432" s="60"/>
    </row>
    <row r="433" spans="1:10" s="3" customFormat="1" ht="14.5" hidden="1" x14ac:dyDescent="0.35">
      <c r="B433" s="43">
        <v>14</v>
      </c>
      <c r="C433" s="104" t="s">
        <v>78</v>
      </c>
      <c r="D433" s="27"/>
      <c r="E433" s="27"/>
      <c r="F433" s="65">
        <f t="shared" si="22"/>
        <v>0</v>
      </c>
      <c r="G433" s="85">
        <f t="shared" si="23"/>
        <v>230007.86000000002</v>
      </c>
      <c r="H433" s="100"/>
      <c r="I433" s="60"/>
      <c r="J433" s="60"/>
    </row>
    <row r="434" spans="1:10" s="3" customFormat="1" ht="14.5" hidden="1" x14ac:dyDescent="0.35">
      <c r="B434" s="43">
        <v>15</v>
      </c>
      <c r="C434" s="41" t="s">
        <v>79</v>
      </c>
      <c r="D434" s="27"/>
      <c r="E434" s="27"/>
      <c r="F434" s="65">
        <f t="shared" si="22"/>
        <v>0</v>
      </c>
      <c r="G434" s="85">
        <f t="shared" si="23"/>
        <v>230007.86000000002</v>
      </c>
      <c r="H434" s="100"/>
      <c r="I434" s="60"/>
      <c r="J434" s="60"/>
    </row>
    <row r="435" spans="1:10" s="3" customFormat="1" ht="14.5" hidden="1" x14ac:dyDescent="0.35">
      <c r="B435" s="43">
        <v>16</v>
      </c>
      <c r="C435" s="41" t="s">
        <v>80</v>
      </c>
      <c r="D435" s="27"/>
      <c r="E435" s="27"/>
      <c r="F435" s="65">
        <f t="shared" si="22"/>
        <v>0</v>
      </c>
      <c r="G435" s="85">
        <f t="shared" si="23"/>
        <v>230007.86000000002</v>
      </c>
      <c r="H435" s="100"/>
      <c r="I435" s="60"/>
      <c r="J435" s="60"/>
    </row>
    <row r="436" spans="1:10" s="3" customFormat="1" ht="14.5" hidden="1" x14ac:dyDescent="0.35">
      <c r="B436" s="43">
        <v>17</v>
      </c>
      <c r="C436" s="41" t="s">
        <v>81</v>
      </c>
      <c r="D436" s="27"/>
      <c r="E436" s="27"/>
      <c r="F436" s="65">
        <f t="shared" si="22"/>
        <v>0</v>
      </c>
      <c r="G436" s="85">
        <f t="shared" si="23"/>
        <v>230007.86000000002</v>
      </c>
      <c r="H436" s="100"/>
      <c r="I436" s="60"/>
      <c r="J436" s="60"/>
    </row>
    <row r="437" spans="1:10" s="3" customFormat="1" ht="14.5" hidden="1" x14ac:dyDescent="0.35">
      <c r="B437" s="43">
        <v>18</v>
      </c>
      <c r="C437" s="41" t="s">
        <v>82</v>
      </c>
      <c r="D437" s="27"/>
      <c r="E437" s="27"/>
      <c r="F437" s="65">
        <f t="shared" si="22"/>
        <v>0</v>
      </c>
      <c r="G437" s="85">
        <f t="shared" si="23"/>
        <v>230007.86000000002</v>
      </c>
      <c r="H437" s="100"/>
      <c r="I437" s="60"/>
      <c r="J437" s="60"/>
    </row>
    <row r="438" spans="1:10" s="3" customFormat="1" ht="14.5" hidden="1" x14ac:dyDescent="0.35">
      <c r="B438" s="43">
        <v>19</v>
      </c>
      <c r="C438" s="41" t="s">
        <v>83</v>
      </c>
      <c r="D438" s="27"/>
      <c r="E438" s="27"/>
      <c r="F438" s="65">
        <f t="shared" si="22"/>
        <v>0</v>
      </c>
      <c r="G438" s="85">
        <f t="shared" si="23"/>
        <v>230007.86000000002</v>
      </c>
      <c r="H438" s="100"/>
      <c r="I438" s="60"/>
      <c r="J438" s="60"/>
    </row>
    <row r="439" spans="1:10" s="3" customFormat="1" ht="14.5" hidden="1" x14ac:dyDescent="0.35">
      <c r="B439" s="43">
        <v>20</v>
      </c>
      <c r="C439" s="41" t="s">
        <v>84</v>
      </c>
      <c r="D439" s="27"/>
      <c r="E439" s="27"/>
      <c r="F439" s="65">
        <f t="shared" si="22"/>
        <v>0</v>
      </c>
      <c r="G439" s="85">
        <f t="shared" si="23"/>
        <v>230007.86000000002</v>
      </c>
      <c r="H439" s="100"/>
      <c r="I439" s="60"/>
      <c r="J439" s="60"/>
    </row>
    <row r="440" spans="1:10" s="3" customFormat="1" ht="14.5" hidden="1" x14ac:dyDescent="0.35">
      <c r="B440" s="43">
        <v>21</v>
      </c>
      <c r="C440" s="41" t="s">
        <v>85</v>
      </c>
      <c r="D440" s="27"/>
      <c r="E440" s="27"/>
      <c r="F440" s="65">
        <f t="shared" si="22"/>
        <v>0</v>
      </c>
      <c r="G440" s="85">
        <f t="shared" si="23"/>
        <v>230007.86000000002</v>
      </c>
      <c r="H440" s="100"/>
      <c r="I440" s="60"/>
      <c r="J440" s="60"/>
    </row>
    <row r="441" spans="1:10" s="3" customFormat="1" ht="14.5" hidden="1" x14ac:dyDescent="0.35">
      <c r="B441" s="43">
        <v>22</v>
      </c>
      <c r="C441" s="41" t="s">
        <v>86</v>
      </c>
      <c r="D441" s="27"/>
      <c r="E441" s="27"/>
      <c r="F441" s="65">
        <f t="shared" si="22"/>
        <v>0</v>
      </c>
      <c r="G441" s="85">
        <f t="shared" si="23"/>
        <v>230007.86000000002</v>
      </c>
      <c r="H441" s="100"/>
      <c r="I441" s="60"/>
      <c r="J441" s="60"/>
    </row>
    <row r="442" spans="1:10" s="3" customFormat="1" ht="14.5" hidden="1" x14ac:dyDescent="0.35">
      <c r="B442" s="43">
        <v>23</v>
      </c>
      <c r="C442" s="41" t="s">
        <v>87</v>
      </c>
      <c r="D442" s="27"/>
      <c r="E442" s="27"/>
      <c r="F442" s="65">
        <f t="shared" si="22"/>
        <v>0</v>
      </c>
      <c r="G442" s="85">
        <f t="shared" si="23"/>
        <v>230007.86000000002</v>
      </c>
      <c r="H442" s="100"/>
      <c r="I442" s="60"/>
      <c r="J442" s="60"/>
    </row>
    <row r="443" spans="1:10" s="3" customFormat="1" ht="14.5" hidden="1" x14ac:dyDescent="0.35">
      <c r="B443" s="43">
        <v>24</v>
      </c>
      <c r="C443" s="41" t="s">
        <v>88</v>
      </c>
      <c r="D443" s="27"/>
      <c r="E443" s="27"/>
      <c r="F443" s="65">
        <f t="shared" si="22"/>
        <v>0</v>
      </c>
      <c r="G443" s="85">
        <f t="shared" si="23"/>
        <v>230007.86000000002</v>
      </c>
      <c r="H443" s="100"/>
      <c r="I443" s="60"/>
      <c r="J443" s="60"/>
    </row>
    <row r="444" spans="1:10" s="3" customFormat="1" ht="14.5" hidden="1" x14ac:dyDescent="0.35">
      <c r="B444" s="43">
        <v>25</v>
      </c>
      <c r="C444" s="105" t="s">
        <v>89</v>
      </c>
      <c r="D444" s="27"/>
      <c r="E444" s="27"/>
      <c r="F444" s="65">
        <f t="shared" si="22"/>
        <v>0</v>
      </c>
      <c r="G444" s="85">
        <f t="shared" si="23"/>
        <v>230007.86000000002</v>
      </c>
      <c r="H444" s="100"/>
      <c r="I444" s="60"/>
      <c r="J444" s="60"/>
    </row>
    <row r="445" spans="1:10" s="3" customFormat="1" ht="14.5" hidden="1" x14ac:dyDescent="0.35">
      <c r="B445" s="43">
        <v>26</v>
      </c>
      <c r="C445" s="105" t="s">
        <v>90</v>
      </c>
      <c r="D445" s="34"/>
      <c r="E445" s="34"/>
      <c r="F445" s="94">
        <f t="shared" si="22"/>
        <v>0</v>
      </c>
      <c r="G445" s="106">
        <f t="shared" si="23"/>
        <v>230007.86000000002</v>
      </c>
      <c r="H445" s="100"/>
      <c r="I445" s="60"/>
      <c r="J445" s="60"/>
    </row>
    <row r="446" spans="1:10" ht="14.5" x14ac:dyDescent="0.35">
      <c r="A446" s="3"/>
      <c r="B446" s="5" t="s">
        <v>63</v>
      </c>
      <c r="C446" s="47" t="s">
        <v>63</v>
      </c>
      <c r="D446" s="86" t="s">
        <v>63</v>
      </c>
      <c r="E446" s="86" t="s">
        <v>63</v>
      </c>
      <c r="F446" s="86" t="s">
        <v>63</v>
      </c>
      <c r="G446" s="86" t="s">
        <v>63</v>
      </c>
      <c r="H446" s="6" t="s">
        <v>63</v>
      </c>
      <c r="I446" s="3"/>
    </row>
    <row r="447" spans="1:10" ht="14.5" x14ac:dyDescent="0.35">
      <c r="A447" s="3"/>
      <c r="B447" s="8" t="s">
        <v>44</v>
      </c>
      <c r="C447" s="58"/>
      <c r="D447" s="86" t="s">
        <v>63</v>
      </c>
      <c r="E447" s="86" t="s">
        <v>63</v>
      </c>
      <c r="F447" s="86" t="s">
        <v>63</v>
      </c>
      <c r="G447" s="86" t="s">
        <v>63</v>
      </c>
      <c r="H447" s="6" t="s">
        <v>63</v>
      </c>
      <c r="I447" s="3"/>
    </row>
    <row r="448" spans="1:10" ht="14.5" x14ac:dyDescent="0.35">
      <c r="A448" s="3"/>
      <c r="B448" s="9" t="s">
        <v>45</v>
      </c>
      <c r="C448" s="5"/>
      <c r="D448" s="6"/>
      <c r="E448" s="6"/>
      <c r="F448" s="87"/>
      <c r="G448" s="87"/>
      <c r="H448" s="101"/>
      <c r="I448" s="3"/>
    </row>
    <row r="449" spans="1:9" ht="14.5" x14ac:dyDescent="0.35">
      <c r="A449" s="3"/>
      <c r="B449" s="9" t="s">
        <v>46</v>
      </c>
      <c r="C449" s="5"/>
      <c r="D449" s="6"/>
      <c r="E449" s="6"/>
      <c r="F449" s="87"/>
      <c r="G449" s="86" t="s">
        <v>63</v>
      </c>
      <c r="H449" s="6" t="s">
        <v>63</v>
      </c>
      <c r="I449" s="3"/>
    </row>
    <row r="450" spans="1:9" ht="14.5" x14ac:dyDescent="0.35">
      <c r="A450" s="3"/>
      <c r="B450" s="9" t="s">
        <v>47</v>
      </c>
      <c r="C450" s="5"/>
      <c r="D450" s="6"/>
      <c r="E450" s="6"/>
      <c r="F450" s="86" t="s">
        <v>63</v>
      </c>
      <c r="G450" s="86" t="s">
        <v>63</v>
      </c>
      <c r="H450" s="6" t="s">
        <v>63</v>
      </c>
      <c r="I450" s="3"/>
    </row>
    <row r="451" spans="1:9" ht="14.5" x14ac:dyDescent="0.35">
      <c r="A451" s="3"/>
      <c r="B451" s="3"/>
      <c r="C451" s="46"/>
      <c r="D451" s="79"/>
      <c r="E451" s="79"/>
      <c r="F451" s="79"/>
      <c r="G451" s="79"/>
      <c r="H451" s="42"/>
      <c r="I451" s="3"/>
    </row>
    <row r="452" spans="1:9" ht="14.5" x14ac:dyDescent="0.35">
      <c r="A452" s="3"/>
      <c r="B452" s="44" t="s">
        <v>69</v>
      </c>
      <c r="C452" s="45"/>
      <c r="D452" s="78"/>
      <c r="E452" s="78"/>
      <c r="F452" s="78"/>
      <c r="G452" s="78"/>
      <c r="H452" s="99" t="s">
        <v>63</v>
      </c>
      <c r="I452" s="3"/>
    </row>
    <row r="453" spans="1:9" ht="14.5" x14ac:dyDescent="0.35">
      <c r="A453" s="3"/>
      <c r="B453" s="44" t="s">
        <v>62</v>
      </c>
      <c r="C453" s="45"/>
      <c r="D453" s="78"/>
      <c r="E453" s="78" t="s">
        <v>63</v>
      </c>
      <c r="F453" s="78" t="s">
        <v>63</v>
      </c>
      <c r="G453" s="78" t="s">
        <v>63</v>
      </c>
      <c r="H453" s="99" t="s">
        <v>63</v>
      </c>
      <c r="I453" s="3"/>
    </row>
    <row r="454" spans="1:9" ht="14.5" x14ac:dyDescent="0.35">
      <c r="A454" s="3"/>
      <c r="B454" s="44"/>
      <c r="C454" s="45"/>
      <c r="D454" s="78"/>
      <c r="E454" s="78"/>
      <c r="F454" s="78"/>
      <c r="G454" s="78"/>
      <c r="H454" s="99"/>
      <c r="I454" s="3"/>
    </row>
    <row r="455" spans="1:9" ht="14.5" x14ac:dyDescent="0.35">
      <c r="A455" s="3"/>
      <c r="B455" s="3"/>
      <c r="C455" s="46"/>
      <c r="D455" s="79"/>
      <c r="E455" s="79"/>
      <c r="F455" s="79"/>
      <c r="G455" s="79"/>
      <c r="H455" s="42"/>
      <c r="I455" s="3"/>
    </row>
    <row r="456" spans="1:9" ht="14.5" x14ac:dyDescent="0.35">
      <c r="A456" s="3"/>
      <c r="B456" s="3"/>
      <c r="C456" s="46"/>
      <c r="D456" s="79"/>
      <c r="E456" s="79"/>
      <c r="F456" s="79"/>
      <c r="G456" s="79"/>
      <c r="H456" s="42"/>
      <c r="I456" s="3"/>
    </row>
    <row r="457" spans="1:9" ht="16.5" customHeight="1" x14ac:dyDescent="0.45">
      <c r="A457" s="35"/>
      <c r="B457" s="36" t="s">
        <v>63</v>
      </c>
      <c r="C457" s="55" t="s">
        <v>63</v>
      </c>
      <c r="D457" s="183" t="s">
        <v>70</v>
      </c>
      <c r="E457" s="183"/>
      <c r="F457" s="183"/>
      <c r="G457" s="183"/>
      <c r="H457" s="183"/>
      <c r="I457" s="2" t="s">
        <v>0</v>
      </c>
    </row>
    <row r="458" spans="1:9" ht="15.9" customHeight="1" x14ac:dyDescent="0.4">
      <c r="A458" s="3"/>
      <c r="B458" s="124" t="s">
        <v>73</v>
      </c>
      <c r="C458" s="124"/>
      <c r="D458" s="124"/>
      <c r="E458" s="124"/>
      <c r="F458" s="124"/>
      <c r="G458" s="124"/>
      <c r="H458" s="124"/>
      <c r="I458" s="2" t="s">
        <v>1</v>
      </c>
    </row>
    <row r="459" spans="1:9" ht="14.5" x14ac:dyDescent="0.35">
      <c r="A459" s="3"/>
      <c r="B459" s="15"/>
      <c r="C459" s="16"/>
      <c r="D459" s="114" t="s">
        <v>7</v>
      </c>
      <c r="E459" s="115"/>
      <c r="F459" s="115"/>
      <c r="G459" s="176"/>
      <c r="H459" s="177" t="s">
        <v>63</v>
      </c>
      <c r="I459" s="2" t="s">
        <v>2</v>
      </c>
    </row>
    <row r="460" spans="1:9" ht="14.5" x14ac:dyDescent="0.35">
      <c r="A460" s="3"/>
      <c r="B460" s="13"/>
      <c r="C460" s="14"/>
      <c r="D460" s="121" t="s">
        <v>10</v>
      </c>
      <c r="E460" s="122"/>
      <c r="F460" s="122"/>
      <c r="G460" s="178"/>
      <c r="H460" s="177"/>
      <c r="I460" s="2" t="s">
        <v>3</v>
      </c>
    </row>
    <row r="461" spans="1:9" ht="14.5" x14ac:dyDescent="0.35">
      <c r="A461" s="3"/>
      <c r="B461" s="128" t="s">
        <v>11</v>
      </c>
      <c r="C461" s="130" t="s">
        <v>12</v>
      </c>
      <c r="D461" s="80" t="s">
        <v>13</v>
      </c>
      <c r="E461" s="80" t="s">
        <v>14</v>
      </c>
      <c r="F461" s="80" t="s">
        <v>15</v>
      </c>
      <c r="G461" s="81" t="s">
        <v>16</v>
      </c>
      <c r="H461" s="172" t="s">
        <v>63</v>
      </c>
      <c r="I461" s="2" t="s">
        <v>4</v>
      </c>
    </row>
    <row r="462" spans="1:9" ht="14.5" x14ac:dyDescent="0.35">
      <c r="A462" s="3"/>
      <c r="B462" s="129"/>
      <c r="C462" s="131"/>
      <c r="D462" s="141" t="s">
        <v>21</v>
      </c>
      <c r="E462" s="142"/>
      <c r="F462" s="142"/>
      <c r="G462" s="173"/>
      <c r="H462" s="172"/>
      <c r="I462" s="3"/>
    </row>
    <row r="463" spans="1:9" ht="14.5" x14ac:dyDescent="0.35">
      <c r="A463" s="3"/>
      <c r="B463" s="43">
        <v>4</v>
      </c>
      <c r="C463" s="56" t="s">
        <v>22</v>
      </c>
      <c r="D463" s="82">
        <v>33002</v>
      </c>
      <c r="E463" s="27">
        <v>0</v>
      </c>
      <c r="F463" s="83">
        <f>+E463+D463</f>
        <v>33002</v>
      </c>
      <c r="G463" s="84">
        <f>+F463</f>
        <v>33002</v>
      </c>
      <c r="H463" s="100" t="s">
        <v>63</v>
      </c>
      <c r="I463" s="3"/>
    </row>
    <row r="464" spans="1:9" ht="14.5" x14ac:dyDescent="0.35">
      <c r="A464" s="3"/>
      <c r="B464" s="50">
        <v>5</v>
      </c>
      <c r="C464" s="57" t="s">
        <v>23</v>
      </c>
      <c r="D464" s="82">
        <v>132694.17000000001</v>
      </c>
      <c r="E464" s="27">
        <v>0</v>
      </c>
      <c r="F464" s="83">
        <f>+E464+D464</f>
        <v>132694.17000000001</v>
      </c>
      <c r="G464" s="84">
        <f>+G463+F464</f>
        <v>165696.17000000001</v>
      </c>
      <c r="H464" s="100" t="s">
        <v>63</v>
      </c>
      <c r="I464" s="3"/>
    </row>
    <row r="465" spans="1:11" ht="14.5" x14ac:dyDescent="0.35">
      <c r="A465" s="3"/>
      <c r="B465" s="50">
        <v>6</v>
      </c>
      <c r="C465" s="57" t="s">
        <v>24</v>
      </c>
      <c r="D465" s="82">
        <v>66514.61</v>
      </c>
      <c r="E465" s="27">
        <v>0</v>
      </c>
      <c r="F465" s="83">
        <f>+E465+D465</f>
        <v>66514.61</v>
      </c>
      <c r="G465" s="84">
        <f>+G464+F465</f>
        <v>232210.78000000003</v>
      </c>
      <c r="H465" s="100" t="s">
        <v>63</v>
      </c>
      <c r="I465" s="3"/>
    </row>
    <row r="466" spans="1:11" ht="14.5" x14ac:dyDescent="0.35">
      <c r="A466" s="3"/>
      <c r="B466" s="50">
        <v>7</v>
      </c>
      <c r="C466" s="57" t="s">
        <v>25</v>
      </c>
      <c r="D466" s="82">
        <v>112205.12</v>
      </c>
      <c r="E466" s="27">
        <v>0</v>
      </c>
      <c r="F466" s="83">
        <f>+E466+D466</f>
        <v>112205.12</v>
      </c>
      <c r="G466" s="84">
        <f>+G465+F466</f>
        <v>344415.9</v>
      </c>
      <c r="H466" s="100" t="s">
        <v>63</v>
      </c>
      <c r="I466" s="3"/>
    </row>
    <row r="467" spans="1:11" ht="14.5" x14ac:dyDescent="0.35">
      <c r="A467" s="3"/>
      <c r="B467" s="43">
        <v>8</v>
      </c>
      <c r="C467" s="41" t="s">
        <v>26</v>
      </c>
      <c r="D467" s="27">
        <v>117213.18</v>
      </c>
      <c r="E467" s="27">
        <v>0</v>
      </c>
      <c r="F467" s="83">
        <f>+E467+D467</f>
        <v>117213.18</v>
      </c>
      <c r="G467" s="84">
        <f>+G466+F467</f>
        <v>461629.08</v>
      </c>
      <c r="H467" s="100"/>
      <c r="I467" s="54"/>
      <c r="J467" s="3"/>
      <c r="K467" s="3"/>
    </row>
    <row r="468" spans="1:11" s="3" customFormat="1" ht="14.5" x14ac:dyDescent="0.35">
      <c r="B468" s="43">
        <v>9</v>
      </c>
      <c r="C468" s="41" t="s">
        <v>27</v>
      </c>
      <c r="D468" s="27">
        <v>156231.19</v>
      </c>
      <c r="E468" s="27">
        <v>0</v>
      </c>
      <c r="F468" s="65">
        <f t="shared" ref="F468:F485" si="24">+E468+D468</f>
        <v>156231.19</v>
      </c>
      <c r="G468" s="85">
        <f t="shared" ref="G468:G485" si="25">+G467+F468</f>
        <v>617860.27</v>
      </c>
      <c r="H468" s="100"/>
      <c r="I468" s="60"/>
      <c r="J468" s="60"/>
    </row>
    <row r="469" spans="1:11" s="3" customFormat="1" ht="14.5" hidden="1" x14ac:dyDescent="0.35">
      <c r="B469" s="43">
        <v>10</v>
      </c>
      <c r="C469" s="41" t="s">
        <v>74</v>
      </c>
      <c r="D469" s="27"/>
      <c r="E469" s="27"/>
      <c r="F469" s="65">
        <f t="shared" si="24"/>
        <v>0</v>
      </c>
      <c r="G469" s="85">
        <f t="shared" si="25"/>
        <v>617860.27</v>
      </c>
      <c r="H469" s="100"/>
      <c r="I469" s="60"/>
      <c r="J469" s="60"/>
    </row>
    <row r="470" spans="1:11" s="3" customFormat="1" ht="14.5" hidden="1" x14ac:dyDescent="0.35">
      <c r="B470" s="43">
        <v>11</v>
      </c>
      <c r="C470" s="41" t="s">
        <v>75</v>
      </c>
      <c r="D470" s="27"/>
      <c r="E470" s="27"/>
      <c r="F470" s="65">
        <f t="shared" si="24"/>
        <v>0</v>
      </c>
      <c r="G470" s="85">
        <f t="shared" si="25"/>
        <v>617860.27</v>
      </c>
      <c r="H470" s="100"/>
      <c r="I470" s="60"/>
      <c r="J470" s="60"/>
    </row>
    <row r="471" spans="1:11" s="3" customFormat="1" ht="14.5" hidden="1" x14ac:dyDescent="0.35">
      <c r="B471" s="43">
        <v>12</v>
      </c>
      <c r="C471" s="41" t="s">
        <v>76</v>
      </c>
      <c r="D471" s="27"/>
      <c r="E471" s="27"/>
      <c r="F471" s="65">
        <f t="shared" si="24"/>
        <v>0</v>
      </c>
      <c r="G471" s="85">
        <f t="shared" si="25"/>
        <v>617860.27</v>
      </c>
      <c r="H471" s="100"/>
      <c r="I471" s="60"/>
      <c r="J471" s="60"/>
    </row>
    <row r="472" spans="1:11" s="3" customFormat="1" ht="14.5" hidden="1" x14ac:dyDescent="0.35">
      <c r="B472" s="43">
        <v>13</v>
      </c>
      <c r="C472" s="41" t="s">
        <v>77</v>
      </c>
      <c r="D472" s="27"/>
      <c r="E472" s="27"/>
      <c r="F472" s="65">
        <f t="shared" si="24"/>
        <v>0</v>
      </c>
      <c r="G472" s="85">
        <f t="shared" si="25"/>
        <v>617860.27</v>
      </c>
      <c r="H472" s="100"/>
      <c r="I472" s="60"/>
      <c r="J472" s="60"/>
    </row>
    <row r="473" spans="1:11" s="3" customFormat="1" ht="14.5" hidden="1" x14ac:dyDescent="0.35">
      <c r="B473" s="43">
        <v>14</v>
      </c>
      <c r="C473" s="104" t="s">
        <v>78</v>
      </c>
      <c r="D473" s="27"/>
      <c r="E473" s="27"/>
      <c r="F473" s="65">
        <f t="shared" si="24"/>
        <v>0</v>
      </c>
      <c r="G473" s="85">
        <f t="shared" si="25"/>
        <v>617860.27</v>
      </c>
      <c r="H473" s="100"/>
      <c r="I473" s="60"/>
      <c r="J473" s="60"/>
    </row>
    <row r="474" spans="1:11" s="3" customFormat="1" ht="14.5" hidden="1" x14ac:dyDescent="0.35">
      <c r="B474" s="43">
        <v>15</v>
      </c>
      <c r="C474" s="41" t="s">
        <v>79</v>
      </c>
      <c r="D474" s="27"/>
      <c r="E474" s="27"/>
      <c r="F474" s="65">
        <f t="shared" si="24"/>
        <v>0</v>
      </c>
      <c r="G474" s="85">
        <f t="shared" si="25"/>
        <v>617860.27</v>
      </c>
      <c r="H474" s="100"/>
      <c r="I474" s="60"/>
      <c r="J474" s="60"/>
    </row>
    <row r="475" spans="1:11" s="3" customFormat="1" ht="14.5" hidden="1" x14ac:dyDescent="0.35">
      <c r="B475" s="43">
        <v>16</v>
      </c>
      <c r="C475" s="41" t="s">
        <v>80</v>
      </c>
      <c r="D475" s="27"/>
      <c r="E475" s="27"/>
      <c r="F475" s="65">
        <f t="shared" si="24"/>
        <v>0</v>
      </c>
      <c r="G475" s="85">
        <f t="shared" si="25"/>
        <v>617860.27</v>
      </c>
      <c r="H475" s="100"/>
      <c r="I475" s="60"/>
      <c r="J475" s="60"/>
    </row>
    <row r="476" spans="1:11" s="3" customFormat="1" ht="14.5" hidden="1" x14ac:dyDescent="0.35">
      <c r="B476" s="43">
        <v>17</v>
      </c>
      <c r="C476" s="41" t="s">
        <v>81</v>
      </c>
      <c r="D476" s="27"/>
      <c r="E476" s="27"/>
      <c r="F476" s="65">
        <f t="shared" si="24"/>
        <v>0</v>
      </c>
      <c r="G476" s="85">
        <f t="shared" si="25"/>
        <v>617860.27</v>
      </c>
      <c r="H476" s="100"/>
      <c r="I476" s="60"/>
      <c r="J476" s="60"/>
    </row>
    <row r="477" spans="1:11" s="3" customFormat="1" ht="14.5" hidden="1" x14ac:dyDescent="0.35">
      <c r="B477" s="43">
        <v>18</v>
      </c>
      <c r="C477" s="41" t="s">
        <v>82</v>
      </c>
      <c r="D477" s="27"/>
      <c r="E477" s="27"/>
      <c r="F477" s="65">
        <f t="shared" si="24"/>
        <v>0</v>
      </c>
      <c r="G477" s="85">
        <f t="shared" si="25"/>
        <v>617860.27</v>
      </c>
      <c r="H477" s="100"/>
      <c r="I477" s="60"/>
      <c r="J477" s="60"/>
    </row>
    <row r="478" spans="1:11" s="3" customFormat="1" ht="14.5" hidden="1" x14ac:dyDescent="0.35">
      <c r="B478" s="43">
        <v>19</v>
      </c>
      <c r="C478" s="41" t="s">
        <v>83</v>
      </c>
      <c r="D478" s="27"/>
      <c r="E478" s="27"/>
      <c r="F478" s="65">
        <f t="shared" si="24"/>
        <v>0</v>
      </c>
      <c r="G478" s="85">
        <f t="shared" si="25"/>
        <v>617860.27</v>
      </c>
      <c r="H478" s="100"/>
      <c r="I478" s="60"/>
      <c r="J478" s="60"/>
    </row>
    <row r="479" spans="1:11" s="3" customFormat="1" ht="14.5" hidden="1" x14ac:dyDescent="0.35">
      <c r="B479" s="43">
        <v>20</v>
      </c>
      <c r="C479" s="41" t="s">
        <v>84</v>
      </c>
      <c r="D479" s="27"/>
      <c r="E479" s="27"/>
      <c r="F479" s="65">
        <f t="shared" si="24"/>
        <v>0</v>
      </c>
      <c r="G479" s="85">
        <f t="shared" si="25"/>
        <v>617860.27</v>
      </c>
      <c r="H479" s="100"/>
      <c r="I479" s="60"/>
      <c r="J479" s="60"/>
    </row>
    <row r="480" spans="1:11" s="3" customFormat="1" ht="14.5" hidden="1" x14ac:dyDescent="0.35">
      <c r="B480" s="43">
        <v>21</v>
      </c>
      <c r="C480" s="41" t="s">
        <v>85</v>
      </c>
      <c r="D480" s="27"/>
      <c r="E480" s="27"/>
      <c r="F480" s="65">
        <f t="shared" si="24"/>
        <v>0</v>
      </c>
      <c r="G480" s="85">
        <f t="shared" si="25"/>
        <v>617860.27</v>
      </c>
      <c r="H480" s="100"/>
      <c r="I480" s="60"/>
      <c r="J480" s="60"/>
    </row>
    <row r="481" spans="1:10" s="3" customFormat="1" ht="14.5" hidden="1" x14ac:dyDescent="0.35">
      <c r="B481" s="43">
        <v>22</v>
      </c>
      <c r="C481" s="41" t="s">
        <v>86</v>
      </c>
      <c r="D481" s="27"/>
      <c r="E481" s="27"/>
      <c r="F481" s="65">
        <f t="shared" si="24"/>
        <v>0</v>
      </c>
      <c r="G481" s="85">
        <f t="shared" si="25"/>
        <v>617860.27</v>
      </c>
      <c r="H481" s="100"/>
      <c r="I481" s="60"/>
      <c r="J481" s="60"/>
    </row>
    <row r="482" spans="1:10" s="3" customFormat="1" ht="14.5" hidden="1" x14ac:dyDescent="0.35">
      <c r="B482" s="43">
        <v>23</v>
      </c>
      <c r="C482" s="41" t="s">
        <v>87</v>
      </c>
      <c r="D482" s="27"/>
      <c r="E482" s="27"/>
      <c r="F482" s="65">
        <f t="shared" si="24"/>
        <v>0</v>
      </c>
      <c r="G482" s="85">
        <f t="shared" si="25"/>
        <v>617860.27</v>
      </c>
      <c r="H482" s="100"/>
      <c r="I482" s="60"/>
      <c r="J482" s="60"/>
    </row>
    <row r="483" spans="1:10" s="3" customFormat="1" ht="14.5" hidden="1" x14ac:dyDescent="0.35">
      <c r="B483" s="43">
        <v>24</v>
      </c>
      <c r="C483" s="41" t="s">
        <v>88</v>
      </c>
      <c r="D483" s="27"/>
      <c r="E483" s="27"/>
      <c r="F483" s="65">
        <f t="shared" si="24"/>
        <v>0</v>
      </c>
      <c r="G483" s="85">
        <f t="shared" si="25"/>
        <v>617860.27</v>
      </c>
      <c r="H483" s="100"/>
      <c r="I483" s="60"/>
      <c r="J483" s="60"/>
    </row>
    <row r="484" spans="1:10" s="3" customFormat="1" ht="14.5" hidden="1" x14ac:dyDescent="0.35">
      <c r="B484" s="43">
        <v>25</v>
      </c>
      <c r="C484" s="105" t="s">
        <v>89</v>
      </c>
      <c r="D484" s="27"/>
      <c r="E484" s="27"/>
      <c r="F484" s="65">
        <f t="shared" si="24"/>
        <v>0</v>
      </c>
      <c r="G484" s="85">
        <f t="shared" si="25"/>
        <v>617860.27</v>
      </c>
      <c r="H484" s="100"/>
      <c r="I484" s="60"/>
      <c r="J484" s="60"/>
    </row>
    <row r="485" spans="1:10" s="3" customFormat="1" ht="14.5" hidden="1" x14ac:dyDescent="0.35">
      <c r="B485" s="43">
        <v>26</v>
      </c>
      <c r="C485" s="105" t="s">
        <v>90</v>
      </c>
      <c r="D485" s="34"/>
      <c r="E485" s="34"/>
      <c r="F485" s="94">
        <f t="shared" si="24"/>
        <v>0</v>
      </c>
      <c r="G485" s="106">
        <f t="shared" si="25"/>
        <v>617860.27</v>
      </c>
      <c r="H485" s="100"/>
      <c r="I485" s="60"/>
      <c r="J485" s="60"/>
    </row>
    <row r="486" spans="1:10" ht="14.5" x14ac:dyDescent="0.35">
      <c r="A486" s="3"/>
      <c r="B486" s="5" t="s">
        <v>63</v>
      </c>
      <c r="C486" s="47" t="s">
        <v>63</v>
      </c>
      <c r="D486" s="86" t="s">
        <v>63</v>
      </c>
      <c r="E486" s="86" t="s">
        <v>63</v>
      </c>
      <c r="F486" s="86" t="s">
        <v>63</v>
      </c>
      <c r="G486" s="86" t="s">
        <v>63</v>
      </c>
      <c r="H486" s="6" t="s">
        <v>63</v>
      </c>
      <c r="I486" s="3"/>
    </row>
    <row r="487" spans="1:10" ht="14.5" x14ac:dyDescent="0.35">
      <c r="A487" s="3"/>
      <c r="B487" s="8" t="s">
        <v>44</v>
      </c>
      <c r="C487" s="58"/>
      <c r="D487" s="86" t="s">
        <v>63</v>
      </c>
      <c r="E487" s="86" t="s">
        <v>63</v>
      </c>
      <c r="F487" s="86" t="s">
        <v>63</v>
      </c>
      <c r="G487" s="86" t="s">
        <v>63</v>
      </c>
      <c r="H487" s="6" t="s">
        <v>63</v>
      </c>
      <c r="I487" s="3"/>
    </row>
    <row r="488" spans="1:10" ht="14.5" x14ac:dyDescent="0.35">
      <c r="A488" s="3"/>
      <c r="B488" s="9" t="s">
        <v>45</v>
      </c>
      <c r="C488" s="5"/>
      <c r="D488" s="6"/>
      <c r="E488" s="6"/>
      <c r="F488" s="87"/>
      <c r="G488" s="87"/>
      <c r="H488" s="101"/>
      <c r="I488" s="3"/>
    </row>
    <row r="489" spans="1:10" ht="14.5" x14ac:dyDescent="0.35">
      <c r="A489" s="3"/>
      <c r="B489" s="9" t="s">
        <v>46</v>
      </c>
      <c r="C489" s="5"/>
      <c r="D489" s="6"/>
      <c r="E489" s="6"/>
      <c r="F489" s="87"/>
      <c r="G489" s="86" t="s">
        <v>63</v>
      </c>
      <c r="H489" s="6" t="s">
        <v>63</v>
      </c>
      <c r="I489" s="3"/>
    </row>
    <row r="490" spans="1:10" ht="14.5" x14ac:dyDescent="0.35">
      <c r="A490" s="3"/>
      <c r="B490" s="9" t="s">
        <v>47</v>
      </c>
      <c r="C490" s="5"/>
      <c r="D490" s="6"/>
      <c r="E490" s="6"/>
      <c r="F490" s="86" t="s">
        <v>63</v>
      </c>
      <c r="G490" s="86" t="s">
        <v>63</v>
      </c>
      <c r="H490" s="6" t="s">
        <v>63</v>
      </c>
      <c r="I490" s="3"/>
    </row>
    <row r="491" spans="1:10" ht="14.5" x14ac:dyDescent="0.35">
      <c r="A491" s="3"/>
      <c r="B491" s="9" t="s">
        <v>63</v>
      </c>
      <c r="C491" s="47" t="s">
        <v>63</v>
      </c>
      <c r="D491" s="86" t="s">
        <v>63</v>
      </c>
      <c r="E491" s="86" t="s">
        <v>63</v>
      </c>
      <c r="F491" s="86" t="s">
        <v>63</v>
      </c>
      <c r="G491" s="86" t="s">
        <v>63</v>
      </c>
      <c r="H491" s="6" t="s">
        <v>63</v>
      </c>
      <c r="I491" s="3"/>
    </row>
    <row r="492" spans="1:10" ht="14.5" x14ac:dyDescent="0.35">
      <c r="A492" s="3"/>
      <c r="B492" s="9" t="s">
        <v>63</v>
      </c>
      <c r="C492" s="47" t="s">
        <v>63</v>
      </c>
      <c r="D492" s="86" t="s">
        <v>63</v>
      </c>
      <c r="E492" s="86" t="s">
        <v>63</v>
      </c>
      <c r="F492" s="86" t="s">
        <v>63</v>
      </c>
      <c r="G492" s="86" t="s">
        <v>63</v>
      </c>
      <c r="H492" s="6" t="s">
        <v>63</v>
      </c>
      <c r="I492" s="3"/>
    </row>
    <row r="493" spans="1:10" ht="18.5" x14ac:dyDescent="0.45">
      <c r="A493" s="3"/>
      <c r="C493" s="48"/>
      <c r="D493" s="181" t="s">
        <v>48</v>
      </c>
      <c r="E493" s="181"/>
      <c r="F493" s="181"/>
      <c r="G493" s="181"/>
      <c r="H493" s="181"/>
      <c r="I493" s="3"/>
    </row>
    <row r="494" spans="1:10" ht="16" x14ac:dyDescent="0.4">
      <c r="A494" s="38"/>
      <c r="B494" s="28" t="s">
        <v>63</v>
      </c>
      <c r="C494" s="59" t="s">
        <v>63</v>
      </c>
      <c r="D494" s="182" t="s">
        <v>70</v>
      </c>
      <c r="E494" s="182"/>
      <c r="F494" s="182"/>
      <c r="G494" s="182"/>
      <c r="H494" s="182"/>
      <c r="I494" s="38"/>
    </row>
    <row r="495" spans="1:10" ht="15.9" customHeight="1" x14ac:dyDescent="0.4">
      <c r="A495" s="3"/>
      <c r="B495" s="124" t="s">
        <v>73</v>
      </c>
      <c r="C495" s="124"/>
      <c r="D495" s="124"/>
      <c r="E495" s="124"/>
      <c r="F495" s="124"/>
      <c r="G495" s="124"/>
      <c r="H495" s="124"/>
      <c r="I495" s="3"/>
    </row>
    <row r="496" spans="1:10" ht="14.5" x14ac:dyDescent="0.35">
      <c r="A496" s="3"/>
      <c r="B496" s="15"/>
      <c r="C496" s="16"/>
      <c r="D496" s="114" t="s">
        <v>7</v>
      </c>
      <c r="E496" s="115"/>
      <c r="F496" s="115"/>
      <c r="G496" s="176"/>
      <c r="H496" s="177" t="s">
        <v>63</v>
      </c>
      <c r="I496" s="3"/>
    </row>
    <row r="497" spans="1:11" ht="14.5" x14ac:dyDescent="0.35">
      <c r="A497" s="3"/>
      <c r="B497" s="13"/>
      <c r="C497" s="14"/>
      <c r="D497" s="121" t="s">
        <v>10</v>
      </c>
      <c r="E497" s="122"/>
      <c r="F497" s="122"/>
      <c r="G497" s="178"/>
      <c r="H497" s="177"/>
      <c r="I497" s="3"/>
    </row>
    <row r="498" spans="1:11" ht="14.5" x14ac:dyDescent="0.35">
      <c r="A498" s="3"/>
      <c r="B498" s="128" t="s">
        <v>11</v>
      </c>
      <c r="C498" s="130" t="s">
        <v>12</v>
      </c>
      <c r="D498" s="80" t="s">
        <v>13</v>
      </c>
      <c r="E498" s="80" t="s">
        <v>14</v>
      </c>
      <c r="F498" s="80" t="s">
        <v>15</v>
      </c>
      <c r="G498" s="81" t="s">
        <v>16</v>
      </c>
      <c r="H498" s="172" t="s">
        <v>63</v>
      </c>
      <c r="I498" s="3"/>
    </row>
    <row r="499" spans="1:11" ht="14.5" x14ac:dyDescent="0.35">
      <c r="A499" s="3"/>
      <c r="B499" s="129"/>
      <c r="C499" s="131"/>
      <c r="D499" s="141" t="s">
        <v>21</v>
      </c>
      <c r="E499" s="142"/>
      <c r="F499" s="142"/>
      <c r="G499" s="173"/>
      <c r="H499" s="172"/>
      <c r="I499" s="3"/>
    </row>
    <row r="500" spans="1:11" ht="14.5" x14ac:dyDescent="0.35">
      <c r="A500" s="3"/>
      <c r="B500" s="43">
        <v>4</v>
      </c>
      <c r="C500" s="56" t="s">
        <v>22</v>
      </c>
      <c r="D500" s="27">
        <v>0</v>
      </c>
      <c r="E500" s="27">
        <v>0</v>
      </c>
      <c r="F500" s="27">
        <v>0</v>
      </c>
      <c r="G500" s="27">
        <v>0</v>
      </c>
      <c r="H500" s="100" t="s">
        <v>63</v>
      </c>
      <c r="I500" s="3"/>
    </row>
    <row r="501" spans="1:11" ht="14.5" x14ac:dyDescent="0.35">
      <c r="A501" s="3"/>
      <c r="B501" s="50">
        <v>5</v>
      </c>
      <c r="C501" s="57" t="s">
        <v>23</v>
      </c>
      <c r="D501" s="82">
        <v>2504.5</v>
      </c>
      <c r="E501" s="27">
        <v>0</v>
      </c>
      <c r="F501" s="83">
        <f>+E501+D501</f>
        <v>2504.5</v>
      </c>
      <c r="G501" s="84">
        <f>+F501</f>
        <v>2504.5</v>
      </c>
      <c r="H501" s="100" t="s">
        <v>63</v>
      </c>
      <c r="I501" s="3"/>
    </row>
    <row r="502" spans="1:11" ht="14.5" x14ac:dyDescent="0.35">
      <c r="A502" s="3"/>
      <c r="B502" s="50">
        <v>6</v>
      </c>
      <c r="C502" s="57" t="s">
        <v>24</v>
      </c>
      <c r="D502" s="27">
        <v>0</v>
      </c>
      <c r="E502" s="27">
        <v>0</v>
      </c>
      <c r="F502" s="83">
        <f>+E502+D502</f>
        <v>0</v>
      </c>
      <c r="G502" s="84">
        <f>+F502+G501</f>
        <v>2504.5</v>
      </c>
      <c r="H502" s="100" t="s">
        <v>63</v>
      </c>
      <c r="I502" s="3"/>
    </row>
    <row r="503" spans="1:11" ht="14.5" x14ac:dyDescent="0.35">
      <c r="A503" s="3"/>
      <c r="B503" s="50">
        <v>7</v>
      </c>
      <c r="C503" s="57" t="s">
        <v>25</v>
      </c>
      <c r="D503" s="82">
        <v>28710.5</v>
      </c>
      <c r="E503" s="27">
        <v>0</v>
      </c>
      <c r="F503" s="83">
        <f>+E503+D503</f>
        <v>28710.5</v>
      </c>
      <c r="G503" s="84">
        <f>+F503+G502</f>
        <v>31215</v>
      </c>
      <c r="H503" s="100" t="s">
        <v>63</v>
      </c>
      <c r="I503" s="3"/>
    </row>
    <row r="504" spans="1:11" ht="14.5" x14ac:dyDescent="0.35">
      <c r="A504" s="3"/>
      <c r="B504" s="43">
        <v>8</v>
      </c>
      <c r="C504" s="41" t="s">
        <v>26</v>
      </c>
      <c r="D504" s="27">
        <v>1769.51</v>
      </c>
      <c r="E504" s="27">
        <v>0</v>
      </c>
      <c r="F504" s="83">
        <f>+E504+D504</f>
        <v>1769.51</v>
      </c>
      <c r="G504" s="84">
        <f>+F504+G503</f>
        <v>32984.51</v>
      </c>
      <c r="H504" s="100"/>
      <c r="I504" s="10"/>
      <c r="J504" s="3"/>
      <c r="K504" s="3"/>
    </row>
    <row r="505" spans="1:11" s="3" customFormat="1" ht="14.5" x14ac:dyDescent="0.35">
      <c r="B505" s="43">
        <v>9</v>
      </c>
      <c r="C505" s="41" t="s">
        <v>27</v>
      </c>
      <c r="D505" s="27">
        <v>0</v>
      </c>
      <c r="E505" s="27">
        <v>0</v>
      </c>
      <c r="F505" s="65">
        <f t="shared" ref="F505:F522" si="26">+E505+D505</f>
        <v>0</v>
      </c>
      <c r="G505" s="85">
        <f t="shared" ref="G505:G522" si="27">+G504+F505</f>
        <v>32984.51</v>
      </c>
      <c r="H505" s="100"/>
      <c r="I505" s="60"/>
      <c r="J505" s="60"/>
    </row>
    <row r="506" spans="1:11" s="3" customFormat="1" ht="14.5" hidden="1" x14ac:dyDescent="0.35">
      <c r="B506" s="43">
        <v>10</v>
      </c>
      <c r="C506" s="41" t="s">
        <v>74</v>
      </c>
      <c r="D506" s="27"/>
      <c r="E506" s="27"/>
      <c r="F506" s="65">
        <f t="shared" si="26"/>
        <v>0</v>
      </c>
      <c r="G506" s="85">
        <f t="shared" si="27"/>
        <v>32984.51</v>
      </c>
      <c r="H506" s="100"/>
      <c r="I506" s="60"/>
      <c r="J506" s="60"/>
    </row>
    <row r="507" spans="1:11" s="3" customFormat="1" ht="14.5" hidden="1" x14ac:dyDescent="0.35">
      <c r="B507" s="43">
        <v>11</v>
      </c>
      <c r="C507" s="41" t="s">
        <v>75</v>
      </c>
      <c r="D507" s="27"/>
      <c r="E507" s="27"/>
      <c r="F507" s="65">
        <f t="shared" si="26"/>
        <v>0</v>
      </c>
      <c r="G507" s="85">
        <f t="shared" si="27"/>
        <v>32984.51</v>
      </c>
      <c r="H507" s="100"/>
      <c r="I507" s="60"/>
      <c r="J507" s="60"/>
    </row>
    <row r="508" spans="1:11" s="3" customFormat="1" ht="14.5" hidden="1" x14ac:dyDescent="0.35">
      <c r="B508" s="43">
        <v>12</v>
      </c>
      <c r="C508" s="41" t="s">
        <v>76</v>
      </c>
      <c r="D508" s="27"/>
      <c r="E508" s="27"/>
      <c r="F508" s="65">
        <f t="shared" si="26"/>
        <v>0</v>
      </c>
      <c r="G508" s="85">
        <f t="shared" si="27"/>
        <v>32984.51</v>
      </c>
      <c r="H508" s="100"/>
      <c r="I508" s="60"/>
      <c r="J508" s="60"/>
    </row>
    <row r="509" spans="1:11" s="3" customFormat="1" ht="14.5" hidden="1" x14ac:dyDescent="0.35">
      <c r="B509" s="43">
        <v>13</v>
      </c>
      <c r="C509" s="41" t="s">
        <v>77</v>
      </c>
      <c r="D509" s="27"/>
      <c r="E509" s="27"/>
      <c r="F509" s="65">
        <f t="shared" si="26"/>
        <v>0</v>
      </c>
      <c r="G509" s="85">
        <f t="shared" si="27"/>
        <v>32984.51</v>
      </c>
      <c r="H509" s="100"/>
      <c r="I509" s="60"/>
      <c r="J509" s="60"/>
    </row>
    <row r="510" spans="1:11" s="3" customFormat="1" ht="14.5" hidden="1" x14ac:dyDescent="0.35">
      <c r="B510" s="43">
        <v>14</v>
      </c>
      <c r="C510" s="104" t="s">
        <v>78</v>
      </c>
      <c r="D510" s="27"/>
      <c r="E510" s="27"/>
      <c r="F510" s="65">
        <f t="shared" si="26"/>
        <v>0</v>
      </c>
      <c r="G510" s="85">
        <f t="shared" si="27"/>
        <v>32984.51</v>
      </c>
      <c r="H510" s="100"/>
      <c r="I510" s="60"/>
      <c r="J510" s="60"/>
    </row>
    <row r="511" spans="1:11" s="3" customFormat="1" ht="14.5" hidden="1" x14ac:dyDescent="0.35">
      <c r="B511" s="43">
        <v>15</v>
      </c>
      <c r="C511" s="41" t="s">
        <v>79</v>
      </c>
      <c r="D511" s="27"/>
      <c r="E511" s="27"/>
      <c r="F511" s="65">
        <f t="shared" si="26"/>
        <v>0</v>
      </c>
      <c r="G511" s="85">
        <f t="shared" si="27"/>
        <v>32984.51</v>
      </c>
      <c r="H511" s="100"/>
      <c r="I511" s="60"/>
      <c r="J511" s="60"/>
    </row>
    <row r="512" spans="1:11" s="3" customFormat="1" ht="14.5" hidden="1" x14ac:dyDescent="0.35">
      <c r="B512" s="43">
        <v>16</v>
      </c>
      <c r="C512" s="41" t="s">
        <v>80</v>
      </c>
      <c r="D512" s="27"/>
      <c r="E512" s="27"/>
      <c r="F512" s="65">
        <f t="shared" si="26"/>
        <v>0</v>
      </c>
      <c r="G512" s="85">
        <f t="shared" si="27"/>
        <v>32984.51</v>
      </c>
      <c r="H512" s="100"/>
      <c r="I512" s="60"/>
      <c r="J512" s="60"/>
    </row>
    <row r="513" spans="1:10" s="3" customFormat="1" ht="14.5" hidden="1" x14ac:dyDescent="0.35">
      <c r="B513" s="43">
        <v>17</v>
      </c>
      <c r="C513" s="41" t="s">
        <v>81</v>
      </c>
      <c r="D513" s="27"/>
      <c r="E513" s="27"/>
      <c r="F513" s="65">
        <f t="shared" si="26"/>
        <v>0</v>
      </c>
      <c r="G513" s="85">
        <f t="shared" si="27"/>
        <v>32984.51</v>
      </c>
      <c r="H513" s="100"/>
      <c r="I513" s="60"/>
      <c r="J513" s="60"/>
    </row>
    <row r="514" spans="1:10" s="3" customFormat="1" ht="14.5" hidden="1" x14ac:dyDescent="0.35">
      <c r="B514" s="43">
        <v>18</v>
      </c>
      <c r="C514" s="41" t="s">
        <v>82</v>
      </c>
      <c r="D514" s="27"/>
      <c r="E514" s="27"/>
      <c r="F514" s="65">
        <f t="shared" si="26"/>
        <v>0</v>
      </c>
      <c r="G514" s="85">
        <f t="shared" si="27"/>
        <v>32984.51</v>
      </c>
      <c r="H514" s="100"/>
      <c r="I514" s="60"/>
      <c r="J514" s="60"/>
    </row>
    <row r="515" spans="1:10" s="3" customFormat="1" ht="14.5" hidden="1" x14ac:dyDescent="0.35">
      <c r="B515" s="43">
        <v>19</v>
      </c>
      <c r="C515" s="41" t="s">
        <v>83</v>
      </c>
      <c r="D515" s="27"/>
      <c r="E515" s="27"/>
      <c r="F515" s="65">
        <f t="shared" si="26"/>
        <v>0</v>
      </c>
      <c r="G515" s="85">
        <f t="shared" si="27"/>
        <v>32984.51</v>
      </c>
      <c r="H515" s="100"/>
      <c r="I515" s="60"/>
      <c r="J515" s="60"/>
    </row>
    <row r="516" spans="1:10" s="3" customFormat="1" ht="14.5" hidden="1" x14ac:dyDescent="0.35">
      <c r="B516" s="43">
        <v>20</v>
      </c>
      <c r="C516" s="41" t="s">
        <v>84</v>
      </c>
      <c r="D516" s="27"/>
      <c r="E516" s="27"/>
      <c r="F516" s="65">
        <f t="shared" si="26"/>
        <v>0</v>
      </c>
      <c r="G516" s="85">
        <f t="shared" si="27"/>
        <v>32984.51</v>
      </c>
      <c r="H516" s="100"/>
      <c r="I516" s="60"/>
      <c r="J516" s="60"/>
    </row>
    <row r="517" spans="1:10" s="3" customFormat="1" ht="14.5" hidden="1" x14ac:dyDescent="0.35">
      <c r="B517" s="43">
        <v>21</v>
      </c>
      <c r="C517" s="41" t="s">
        <v>85</v>
      </c>
      <c r="D517" s="27"/>
      <c r="E517" s="27"/>
      <c r="F517" s="65">
        <f t="shared" si="26"/>
        <v>0</v>
      </c>
      <c r="G517" s="85">
        <f t="shared" si="27"/>
        <v>32984.51</v>
      </c>
      <c r="H517" s="100"/>
      <c r="I517" s="60"/>
      <c r="J517" s="60"/>
    </row>
    <row r="518" spans="1:10" s="3" customFormat="1" ht="14.5" hidden="1" x14ac:dyDescent="0.35">
      <c r="B518" s="43">
        <v>22</v>
      </c>
      <c r="C518" s="41" t="s">
        <v>86</v>
      </c>
      <c r="D518" s="27"/>
      <c r="E518" s="27"/>
      <c r="F518" s="65">
        <f t="shared" si="26"/>
        <v>0</v>
      </c>
      <c r="G518" s="85">
        <f t="shared" si="27"/>
        <v>32984.51</v>
      </c>
      <c r="H518" s="100"/>
      <c r="I518" s="60"/>
      <c r="J518" s="60"/>
    </row>
    <row r="519" spans="1:10" s="3" customFormat="1" ht="14.5" hidden="1" x14ac:dyDescent="0.35">
      <c r="B519" s="43">
        <v>23</v>
      </c>
      <c r="C519" s="41" t="s">
        <v>87</v>
      </c>
      <c r="D519" s="27"/>
      <c r="E519" s="27"/>
      <c r="F519" s="65">
        <f t="shared" si="26"/>
        <v>0</v>
      </c>
      <c r="G519" s="85">
        <f t="shared" si="27"/>
        <v>32984.51</v>
      </c>
      <c r="H519" s="100"/>
      <c r="I519" s="60"/>
      <c r="J519" s="60"/>
    </row>
    <row r="520" spans="1:10" s="3" customFormat="1" ht="14.5" hidden="1" x14ac:dyDescent="0.35">
      <c r="B520" s="43">
        <v>24</v>
      </c>
      <c r="C520" s="41" t="s">
        <v>88</v>
      </c>
      <c r="D520" s="27"/>
      <c r="E520" s="27"/>
      <c r="F520" s="65">
        <f t="shared" si="26"/>
        <v>0</v>
      </c>
      <c r="G520" s="85">
        <f t="shared" si="27"/>
        <v>32984.51</v>
      </c>
      <c r="H520" s="100"/>
      <c r="I520" s="60"/>
      <c r="J520" s="60"/>
    </row>
    <row r="521" spans="1:10" s="3" customFormat="1" ht="14.5" hidden="1" x14ac:dyDescent="0.35">
      <c r="B521" s="43">
        <v>25</v>
      </c>
      <c r="C521" s="105" t="s">
        <v>89</v>
      </c>
      <c r="D521" s="27"/>
      <c r="E521" s="27"/>
      <c r="F521" s="65">
        <f t="shared" si="26"/>
        <v>0</v>
      </c>
      <c r="G521" s="85">
        <f t="shared" si="27"/>
        <v>32984.51</v>
      </c>
      <c r="H521" s="100"/>
      <c r="I521" s="60"/>
      <c r="J521" s="60"/>
    </row>
    <row r="522" spans="1:10" s="3" customFormat="1" ht="14.5" hidden="1" x14ac:dyDescent="0.35">
      <c r="B522" s="43">
        <v>26</v>
      </c>
      <c r="C522" s="105" t="s">
        <v>90</v>
      </c>
      <c r="D522" s="34"/>
      <c r="E522" s="34"/>
      <c r="F522" s="94">
        <f t="shared" si="26"/>
        <v>0</v>
      </c>
      <c r="G522" s="106">
        <f t="shared" si="27"/>
        <v>32984.51</v>
      </c>
      <c r="H522" s="100"/>
      <c r="I522" s="60"/>
      <c r="J522" s="60"/>
    </row>
    <row r="523" spans="1:10" ht="14.5" x14ac:dyDescent="0.35">
      <c r="A523" s="3"/>
      <c r="B523" s="5" t="s">
        <v>63</v>
      </c>
      <c r="C523" s="47" t="s">
        <v>63</v>
      </c>
      <c r="D523" s="86" t="s">
        <v>63</v>
      </c>
      <c r="E523" s="86" t="s">
        <v>63</v>
      </c>
      <c r="F523" s="86" t="s">
        <v>63</v>
      </c>
      <c r="G523" s="86" t="s">
        <v>63</v>
      </c>
      <c r="H523" s="6" t="s">
        <v>63</v>
      </c>
      <c r="I523" s="3"/>
    </row>
    <row r="524" spans="1:10" ht="14.5" x14ac:dyDescent="0.35">
      <c r="A524" s="3"/>
      <c r="B524" s="8" t="s">
        <v>44</v>
      </c>
      <c r="C524" s="58"/>
      <c r="D524" s="86" t="s">
        <v>63</v>
      </c>
      <c r="E524" s="86" t="s">
        <v>63</v>
      </c>
      <c r="F524" s="86" t="s">
        <v>63</v>
      </c>
      <c r="G524" s="86" t="s">
        <v>63</v>
      </c>
      <c r="H524" s="6" t="s">
        <v>63</v>
      </c>
      <c r="I524" s="3"/>
    </row>
    <row r="525" spans="1:10" ht="14.5" x14ac:dyDescent="0.35">
      <c r="A525" s="3"/>
      <c r="B525" s="9" t="s">
        <v>45</v>
      </c>
      <c r="C525" s="5"/>
      <c r="D525" s="6"/>
      <c r="E525" s="6"/>
      <c r="F525" s="87"/>
      <c r="G525" s="87"/>
      <c r="H525" s="101"/>
      <c r="I525" s="3"/>
    </row>
    <row r="526" spans="1:10" ht="14.5" x14ac:dyDescent="0.35">
      <c r="A526" s="3"/>
      <c r="B526" s="9" t="s">
        <v>46</v>
      </c>
      <c r="C526" s="5"/>
      <c r="D526" s="6"/>
      <c r="E526" s="6"/>
      <c r="F526" s="87"/>
      <c r="G526" s="86" t="s">
        <v>63</v>
      </c>
      <c r="H526" s="6" t="s">
        <v>63</v>
      </c>
      <c r="I526" s="3"/>
    </row>
    <row r="527" spans="1:10" ht="14.5" x14ac:dyDescent="0.35">
      <c r="A527" s="3"/>
      <c r="B527" s="9" t="s">
        <v>47</v>
      </c>
      <c r="C527" s="5"/>
      <c r="D527" s="6"/>
      <c r="E527" s="6"/>
      <c r="F527" s="86" t="s">
        <v>63</v>
      </c>
      <c r="G527" s="86" t="s">
        <v>63</v>
      </c>
      <c r="H527" s="6" t="s">
        <v>63</v>
      </c>
      <c r="I527" s="3"/>
    </row>
    <row r="528" spans="1:10" ht="14.5" x14ac:dyDescent="0.35">
      <c r="A528" s="3"/>
      <c r="B528" s="10"/>
      <c r="C528" s="48"/>
      <c r="D528" s="88"/>
      <c r="E528" s="88"/>
      <c r="F528" s="88"/>
      <c r="G528" s="88"/>
      <c r="H528" s="60"/>
      <c r="I528" s="3"/>
    </row>
    <row r="529" spans="1:11" ht="14.5" x14ac:dyDescent="0.35">
      <c r="A529" s="3"/>
      <c r="B529" s="10"/>
      <c r="C529" s="48"/>
      <c r="D529" s="88"/>
      <c r="E529" s="88"/>
      <c r="F529" s="88"/>
      <c r="G529" s="88"/>
      <c r="H529" s="60"/>
      <c r="I529" s="3"/>
    </row>
    <row r="530" spans="1:11" ht="18.5" x14ac:dyDescent="0.45">
      <c r="A530" s="3"/>
      <c r="C530" s="48"/>
      <c r="D530" s="179" t="s">
        <v>51</v>
      </c>
      <c r="E530" s="179"/>
      <c r="F530" s="179"/>
      <c r="G530" s="179"/>
      <c r="H530" s="179"/>
      <c r="I530" s="3"/>
    </row>
    <row r="531" spans="1:11" ht="16" x14ac:dyDescent="0.4">
      <c r="A531" s="38"/>
      <c r="B531" s="28" t="s">
        <v>63</v>
      </c>
      <c r="C531" s="59" t="s">
        <v>63</v>
      </c>
      <c r="D531" s="180" t="s">
        <v>70</v>
      </c>
      <c r="E531" s="180"/>
      <c r="F531" s="180"/>
      <c r="G531" s="180"/>
      <c r="H531" s="180"/>
      <c r="I531" s="38"/>
    </row>
    <row r="532" spans="1:11" ht="15.9" customHeight="1" x14ac:dyDescent="0.4">
      <c r="A532" s="3"/>
      <c r="B532" s="124" t="s">
        <v>73</v>
      </c>
      <c r="C532" s="124"/>
      <c r="D532" s="124"/>
      <c r="E532" s="124"/>
      <c r="F532" s="124"/>
      <c r="G532" s="124"/>
      <c r="H532" s="124"/>
      <c r="I532" s="3"/>
    </row>
    <row r="533" spans="1:11" ht="14.5" x14ac:dyDescent="0.35">
      <c r="A533" s="3"/>
      <c r="B533" s="15"/>
      <c r="C533" s="16"/>
      <c r="D533" s="114" t="s">
        <v>7</v>
      </c>
      <c r="E533" s="115"/>
      <c r="F533" s="115"/>
      <c r="G533" s="176"/>
      <c r="H533" s="177" t="s">
        <v>63</v>
      </c>
      <c r="I533" s="3"/>
    </row>
    <row r="534" spans="1:11" ht="14.5" x14ac:dyDescent="0.35">
      <c r="A534" s="3"/>
      <c r="B534" s="13"/>
      <c r="C534" s="14"/>
      <c r="D534" s="121" t="s">
        <v>10</v>
      </c>
      <c r="E534" s="122"/>
      <c r="F534" s="122"/>
      <c r="G534" s="178"/>
      <c r="H534" s="177"/>
      <c r="I534" s="3"/>
    </row>
    <row r="535" spans="1:11" ht="14.5" x14ac:dyDescent="0.35">
      <c r="A535" s="3"/>
      <c r="B535" s="128" t="s">
        <v>11</v>
      </c>
      <c r="C535" s="130" t="s">
        <v>12</v>
      </c>
      <c r="D535" s="80" t="s">
        <v>13</v>
      </c>
      <c r="E535" s="80" t="s">
        <v>14</v>
      </c>
      <c r="F535" s="80" t="s">
        <v>15</v>
      </c>
      <c r="G535" s="81" t="s">
        <v>16</v>
      </c>
      <c r="H535" s="172" t="s">
        <v>63</v>
      </c>
      <c r="I535" s="3"/>
    </row>
    <row r="536" spans="1:11" ht="14.5" x14ac:dyDescent="0.35">
      <c r="A536" s="3"/>
      <c r="B536" s="129"/>
      <c r="C536" s="131"/>
      <c r="D536" s="141" t="s">
        <v>21</v>
      </c>
      <c r="E536" s="142"/>
      <c r="F536" s="142"/>
      <c r="G536" s="173"/>
      <c r="H536" s="172"/>
      <c r="I536" s="3"/>
    </row>
    <row r="537" spans="1:11" ht="14.5" x14ac:dyDescent="0.35">
      <c r="A537" s="3"/>
      <c r="B537" s="43">
        <v>4</v>
      </c>
      <c r="C537" s="56" t="s">
        <v>22</v>
      </c>
      <c r="D537" s="27">
        <v>0</v>
      </c>
      <c r="E537" s="27">
        <v>0</v>
      </c>
      <c r="F537" s="27">
        <v>0</v>
      </c>
      <c r="G537" s="27">
        <v>0</v>
      </c>
      <c r="H537" s="100" t="s">
        <v>63</v>
      </c>
      <c r="I537" s="3"/>
    </row>
    <row r="538" spans="1:11" ht="14.5" x14ac:dyDescent="0.35">
      <c r="A538" s="3"/>
      <c r="B538" s="50">
        <v>5</v>
      </c>
      <c r="C538" s="57" t="s">
        <v>23</v>
      </c>
      <c r="D538" s="82">
        <v>79374.570000000007</v>
      </c>
      <c r="E538" s="27">
        <v>0</v>
      </c>
      <c r="F538" s="83">
        <f>+E538+D538</f>
        <v>79374.570000000007</v>
      </c>
      <c r="G538" s="84">
        <f>+F538</f>
        <v>79374.570000000007</v>
      </c>
      <c r="H538" s="100" t="s">
        <v>63</v>
      </c>
      <c r="I538" s="3"/>
    </row>
    <row r="539" spans="1:11" ht="14.5" x14ac:dyDescent="0.35">
      <c r="A539" s="3"/>
      <c r="B539" s="50">
        <v>6</v>
      </c>
      <c r="C539" s="57" t="s">
        <v>24</v>
      </c>
      <c r="D539" s="82">
        <v>40542.06</v>
      </c>
      <c r="E539" s="27">
        <v>0</v>
      </c>
      <c r="F539" s="83">
        <f>+E539+D539</f>
        <v>40542.06</v>
      </c>
      <c r="G539" s="84">
        <f>+G538+F539</f>
        <v>119916.63</v>
      </c>
      <c r="H539" s="100" t="s">
        <v>63</v>
      </c>
      <c r="I539" s="3"/>
    </row>
    <row r="540" spans="1:11" ht="14.5" x14ac:dyDescent="0.35">
      <c r="A540" s="3"/>
      <c r="B540" s="50">
        <v>7</v>
      </c>
      <c r="C540" s="57" t="s">
        <v>25</v>
      </c>
      <c r="D540" s="82">
        <v>47346.080000000002</v>
      </c>
      <c r="E540" s="27">
        <v>0</v>
      </c>
      <c r="F540" s="83">
        <f>+E540+D540</f>
        <v>47346.080000000002</v>
      </c>
      <c r="G540" s="84">
        <f>+G539+F540</f>
        <v>167262.71000000002</v>
      </c>
      <c r="H540" s="100" t="s">
        <v>63</v>
      </c>
      <c r="I540" s="3"/>
    </row>
    <row r="541" spans="1:11" ht="14.5" x14ac:dyDescent="0.35">
      <c r="A541" s="3"/>
      <c r="B541" s="43">
        <v>8</v>
      </c>
      <c r="C541" s="41" t="s">
        <v>26</v>
      </c>
      <c r="D541" s="27">
        <f>14452.51</f>
        <v>14452.51</v>
      </c>
      <c r="E541" s="27">
        <v>0</v>
      </c>
      <c r="F541" s="83">
        <f>+E541+D541</f>
        <v>14452.51</v>
      </c>
      <c r="G541" s="84">
        <f>+G540+F541</f>
        <v>181715.22000000003</v>
      </c>
      <c r="H541" s="100"/>
      <c r="I541" s="10"/>
      <c r="J541" s="3"/>
      <c r="K541" s="3"/>
    </row>
    <row r="542" spans="1:11" s="3" customFormat="1" ht="14.5" x14ac:dyDescent="0.35">
      <c r="B542" s="43">
        <v>9</v>
      </c>
      <c r="C542" s="41" t="s">
        <v>27</v>
      </c>
      <c r="D542" s="27">
        <v>120349.63</v>
      </c>
      <c r="E542" s="27"/>
      <c r="F542" s="65">
        <f t="shared" ref="F542:F559" si="28">+E542+D542</f>
        <v>120349.63</v>
      </c>
      <c r="G542" s="85">
        <f t="shared" ref="G542:G559" si="29">+G541+F542</f>
        <v>302064.85000000003</v>
      </c>
      <c r="H542" s="100"/>
      <c r="I542" s="60"/>
      <c r="J542" s="60"/>
    </row>
    <row r="543" spans="1:11" s="3" customFormat="1" ht="14.5" hidden="1" x14ac:dyDescent="0.35">
      <c r="B543" s="43">
        <v>10</v>
      </c>
      <c r="C543" s="41" t="s">
        <v>74</v>
      </c>
      <c r="D543" s="27"/>
      <c r="E543" s="27"/>
      <c r="F543" s="65">
        <f t="shared" si="28"/>
        <v>0</v>
      </c>
      <c r="G543" s="85">
        <f t="shared" si="29"/>
        <v>302064.85000000003</v>
      </c>
      <c r="H543" s="100"/>
      <c r="I543" s="60"/>
      <c r="J543" s="60"/>
    </row>
    <row r="544" spans="1:11" s="3" customFormat="1" ht="14.5" hidden="1" x14ac:dyDescent="0.35">
      <c r="B544" s="43">
        <v>11</v>
      </c>
      <c r="C544" s="41" t="s">
        <v>75</v>
      </c>
      <c r="D544" s="27"/>
      <c r="E544" s="27"/>
      <c r="F544" s="65">
        <f t="shared" si="28"/>
        <v>0</v>
      </c>
      <c r="G544" s="85">
        <f t="shared" si="29"/>
        <v>302064.85000000003</v>
      </c>
      <c r="H544" s="100"/>
      <c r="I544" s="60"/>
      <c r="J544" s="60"/>
    </row>
    <row r="545" spans="1:10" s="3" customFormat="1" ht="14.5" hidden="1" x14ac:dyDescent="0.35">
      <c r="B545" s="43">
        <v>12</v>
      </c>
      <c r="C545" s="41" t="s">
        <v>76</v>
      </c>
      <c r="D545" s="27"/>
      <c r="E545" s="27"/>
      <c r="F545" s="65">
        <f t="shared" si="28"/>
        <v>0</v>
      </c>
      <c r="G545" s="85">
        <f t="shared" si="29"/>
        <v>302064.85000000003</v>
      </c>
      <c r="H545" s="100"/>
      <c r="I545" s="60"/>
      <c r="J545" s="60"/>
    </row>
    <row r="546" spans="1:10" s="3" customFormat="1" ht="14.5" hidden="1" x14ac:dyDescent="0.35">
      <c r="B546" s="43">
        <v>13</v>
      </c>
      <c r="C546" s="41" t="s">
        <v>77</v>
      </c>
      <c r="D546" s="27"/>
      <c r="E546" s="27"/>
      <c r="F546" s="65">
        <f t="shared" si="28"/>
        <v>0</v>
      </c>
      <c r="G546" s="85">
        <f t="shared" si="29"/>
        <v>302064.85000000003</v>
      </c>
      <c r="H546" s="100"/>
      <c r="I546" s="60"/>
      <c r="J546" s="60"/>
    </row>
    <row r="547" spans="1:10" s="3" customFormat="1" ht="14.5" hidden="1" x14ac:dyDescent="0.35">
      <c r="B547" s="43">
        <v>14</v>
      </c>
      <c r="C547" s="104" t="s">
        <v>78</v>
      </c>
      <c r="D547" s="27"/>
      <c r="E547" s="27"/>
      <c r="F547" s="65">
        <f t="shared" si="28"/>
        <v>0</v>
      </c>
      <c r="G547" s="85">
        <f t="shared" si="29"/>
        <v>302064.85000000003</v>
      </c>
      <c r="H547" s="100"/>
      <c r="I547" s="60"/>
      <c r="J547" s="60"/>
    </row>
    <row r="548" spans="1:10" s="3" customFormat="1" ht="14.5" hidden="1" x14ac:dyDescent="0.35">
      <c r="B548" s="43">
        <v>15</v>
      </c>
      <c r="C548" s="41" t="s">
        <v>79</v>
      </c>
      <c r="D548" s="27"/>
      <c r="E548" s="27"/>
      <c r="F548" s="65">
        <f t="shared" si="28"/>
        <v>0</v>
      </c>
      <c r="G548" s="85">
        <f t="shared" si="29"/>
        <v>302064.85000000003</v>
      </c>
      <c r="H548" s="100"/>
      <c r="I548" s="60"/>
      <c r="J548" s="60"/>
    </row>
    <row r="549" spans="1:10" s="3" customFormat="1" ht="14.5" hidden="1" x14ac:dyDescent="0.35">
      <c r="B549" s="43">
        <v>16</v>
      </c>
      <c r="C549" s="41" t="s">
        <v>80</v>
      </c>
      <c r="D549" s="27"/>
      <c r="E549" s="27"/>
      <c r="F549" s="65">
        <f t="shared" si="28"/>
        <v>0</v>
      </c>
      <c r="G549" s="85">
        <f t="shared" si="29"/>
        <v>302064.85000000003</v>
      </c>
      <c r="H549" s="100"/>
      <c r="I549" s="60"/>
      <c r="J549" s="60"/>
    </row>
    <row r="550" spans="1:10" s="3" customFormat="1" ht="14.5" hidden="1" x14ac:dyDescent="0.35">
      <c r="B550" s="43">
        <v>17</v>
      </c>
      <c r="C550" s="41" t="s">
        <v>81</v>
      </c>
      <c r="D550" s="27"/>
      <c r="E550" s="27"/>
      <c r="F550" s="65">
        <f t="shared" si="28"/>
        <v>0</v>
      </c>
      <c r="G550" s="85">
        <f t="shared" si="29"/>
        <v>302064.85000000003</v>
      </c>
      <c r="H550" s="100"/>
      <c r="I550" s="60"/>
      <c r="J550" s="60"/>
    </row>
    <row r="551" spans="1:10" s="3" customFormat="1" ht="14.5" hidden="1" x14ac:dyDescent="0.35">
      <c r="B551" s="43">
        <v>18</v>
      </c>
      <c r="C551" s="41" t="s">
        <v>82</v>
      </c>
      <c r="D551" s="27"/>
      <c r="E551" s="27"/>
      <c r="F551" s="65">
        <f t="shared" si="28"/>
        <v>0</v>
      </c>
      <c r="G551" s="85">
        <f t="shared" si="29"/>
        <v>302064.85000000003</v>
      </c>
      <c r="H551" s="100"/>
      <c r="I551" s="60"/>
      <c r="J551" s="60"/>
    </row>
    <row r="552" spans="1:10" s="3" customFormat="1" ht="14.5" hidden="1" x14ac:dyDescent="0.35">
      <c r="B552" s="43">
        <v>19</v>
      </c>
      <c r="C552" s="41" t="s">
        <v>83</v>
      </c>
      <c r="D552" s="27"/>
      <c r="E552" s="27"/>
      <c r="F552" s="65">
        <f t="shared" si="28"/>
        <v>0</v>
      </c>
      <c r="G552" s="85">
        <f t="shared" si="29"/>
        <v>302064.85000000003</v>
      </c>
      <c r="H552" s="100"/>
      <c r="I552" s="60"/>
      <c r="J552" s="60"/>
    </row>
    <row r="553" spans="1:10" s="3" customFormat="1" ht="14.5" hidden="1" x14ac:dyDescent="0.35">
      <c r="B553" s="43">
        <v>20</v>
      </c>
      <c r="C553" s="41" t="s">
        <v>84</v>
      </c>
      <c r="D553" s="27"/>
      <c r="E553" s="27"/>
      <c r="F553" s="65">
        <f t="shared" si="28"/>
        <v>0</v>
      </c>
      <c r="G553" s="85">
        <f t="shared" si="29"/>
        <v>302064.85000000003</v>
      </c>
      <c r="H553" s="100"/>
      <c r="I553" s="60"/>
      <c r="J553" s="60"/>
    </row>
    <row r="554" spans="1:10" s="3" customFormat="1" ht="14.5" hidden="1" x14ac:dyDescent="0.35">
      <c r="B554" s="43">
        <v>21</v>
      </c>
      <c r="C554" s="41" t="s">
        <v>85</v>
      </c>
      <c r="D554" s="27"/>
      <c r="E554" s="27"/>
      <c r="F554" s="65">
        <f t="shared" si="28"/>
        <v>0</v>
      </c>
      <c r="G554" s="85">
        <f t="shared" si="29"/>
        <v>302064.85000000003</v>
      </c>
      <c r="H554" s="100"/>
      <c r="I554" s="60"/>
      <c r="J554" s="60"/>
    </row>
    <row r="555" spans="1:10" s="3" customFormat="1" ht="14.5" hidden="1" x14ac:dyDescent="0.35">
      <c r="B555" s="43">
        <v>22</v>
      </c>
      <c r="C555" s="41" t="s">
        <v>86</v>
      </c>
      <c r="D555" s="27"/>
      <c r="E555" s="27"/>
      <c r="F555" s="65">
        <f t="shared" si="28"/>
        <v>0</v>
      </c>
      <c r="G555" s="85">
        <f t="shared" si="29"/>
        <v>302064.85000000003</v>
      </c>
      <c r="H555" s="100"/>
      <c r="I555" s="60"/>
      <c r="J555" s="60"/>
    </row>
    <row r="556" spans="1:10" s="3" customFormat="1" ht="14.5" hidden="1" x14ac:dyDescent="0.35">
      <c r="B556" s="43">
        <v>23</v>
      </c>
      <c r="C556" s="41" t="s">
        <v>87</v>
      </c>
      <c r="D556" s="27"/>
      <c r="E556" s="27"/>
      <c r="F556" s="65">
        <f t="shared" si="28"/>
        <v>0</v>
      </c>
      <c r="G556" s="85">
        <f t="shared" si="29"/>
        <v>302064.85000000003</v>
      </c>
      <c r="H556" s="100"/>
      <c r="I556" s="60"/>
      <c r="J556" s="60"/>
    </row>
    <row r="557" spans="1:10" s="3" customFormat="1" ht="14.5" hidden="1" x14ac:dyDescent="0.35">
      <c r="B557" s="43">
        <v>24</v>
      </c>
      <c r="C557" s="41" t="s">
        <v>88</v>
      </c>
      <c r="D557" s="27"/>
      <c r="E557" s="27"/>
      <c r="F557" s="65">
        <f t="shared" si="28"/>
        <v>0</v>
      </c>
      <c r="G557" s="85">
        <f t="shared" si="29"/>
        <v>302064.85000000003</v>
      </c>
      <c r="H557" s="100"/>
      <c r="I557" s="60"/>
      <c r="J557" s="60"/>
    </row>
    <row r="558" spans="1:10" s="3" customFormat="1" ht="14.5" hidden="1" x14ac:dyDescent="0.35">
      <c r="B558" s="43">
        <v>25</v>
      </c>
      <c r="C558" s="105" t="s">
        <v>89</v>
      </c>
      <c r="D558" s="27"/>
      <c r="E558" s="27"/>
      <c r="F558" s="65">
        <f t="shared" si="28"/>
        <v>0</v>
      </c>
      <c r="G558" s="85">
        <f t="shared" si="29"/>
        <v>302064.85000000003</v>
      </c>
      <c r="H558" s="100"/>
      <c r="I558" s="60"/>
      <c r="J558" s="60"/>
    </row>
    <row r="559" spans="1:10" s="3" customFormat="1" ht="14.5" hidden="1" x14ac:dyDescent="0.35">
      <c r="B559" s="43">
        <v>26</v>
      </c>
      <c r="C559" s="105" t="s">
        <v>90</v>
      </c>
      <c r="D559" s="34"/>
      <c r="E559" s="34"/>
      <c r="F559" s="94">
        <f t="shared" si="28"/>
        <v>0</v>
      </c>
      <c r="G559" s="106">
        <f t="shared" si="29"/>
        <v>302064.85000000003</v>
      </c>
      <c r="H559" s="100"/>
      <c r="I559" s="60"/>
      <c r="J559" s="60"/>
    </row>
    <row r="560" spans="1:10" ht="14.5" x14ac:dyDescent="0.35">
      <c r="A560" s="3"/>
      <c r="B560" s="5" t="s">
        <v>63</v>
      </c>
      <c r="C560" s="47" t="s">
        <v>63</v>
      </c>
      <c r="D560" s="86" t="s">
        <v>63</v>
      </c>
      <c r="E560" s="86" t="s">
        <v>63</v>
      </c>
      <c r="F560" s="86" t="s">
        <v>63</v>
      </c>
      <c r="G560" s="86" t="s">
        <v>63</v>
      </c>
      <c r="H560" s="6" t="s">
        <v>63</v>
      </c>
      <c r="I560" s="3"/>
    </row>
    <row r="561" spans="1:9" ht="14.5" x14ac:dyDescent="0.35">
      <c r="A561" s="3"/>
      <c r="B561" s="8" t="s">
        <v>44</v>
      </c>
      <c r="C561" s="58"/>
      <c r="D561" s="86" t="s">
        <v>63</v>
      </c>
      <c r="E561" s="86" t="s">
        <v>63</v>
      </c>
      <c r="F561" s="86" t="s">
        <v>63</v>
      </c>
      <c r="G561" s="86" t="s">
        <v>63</v>
      </c>
      <c r="H561" s="6" t="s">
        <v>63</v>
      </c>
      <c r="I561" s="3"/>
    </row>
    <row r="562" spans="1:9" ht="14.5" x14ac:dyDescent="0.35">
      <c r="A562" s="3"/>
      <c r="B562" s="9" t="s">
        <v>45</v>
      </c>
      <c r="C562" s="5"/>
      <c r="D562" s="6"/>
      <c r="E562" s="6"/>
      <c r="F562" s="87"/>
      <c r="G562" s="87"/>
      <c r="H562" s="101"/>
      <c r="I562" s="3"/>
    </row>
    <row r="563" spans="1:9" ht="14.5" x14ac:dyDescent="0.35">
      <c r="A563" s="3"/>
      <c r="B563" s="9" t="s">
        <v>46</v>
      </c>
      <c r="C563" s="5"/>
      <c r="D563" s="6"/>
      <c r="E563" s="6"/>
      <c r="F563" s="87"/>
      <c r="G563" s="86" t="s">
        <v>63</v>
      </c>
      <c r="H563" s="6" t="s">
        <v>63</v>
      </c>
      <c r="I563" s="3"/>
    </row>
    <row r="564" spans="1:9" ht="14.5" x14ac:dyDescent="0.35">
      <c r="A564" s="3"/>
      <c r="B564" s="9" t="s">
        <v>47</v>
      </c>
      <c r="C564" s="5"/>
      <c r="D564" s="6"/>
      <c r="E564" s="6"/>
      <c r="F564" s="86" t="s">
        <v>63</v>
      </c>
      <c r="G564" s="86" t="s">
        <v>63</v>
      </c>
      <c r="H564" s="6" t="s">
        <v>63</v>
      </c>
      <c r="I564" s="3"/>
    </row>
    <row r="565" spans="1:9" ht="14.5" x14ac:dyDescent="0.35">
      <c r="A565" s="3"/>
      <c r="B565" s="3"/>
      <c r="C565" s="46"/>
      <c r="D565" s="79"/>
      <c r="E565" s="79"/>
      <c r="F565" s="79"/>
      <c r="G565" s="79"/>
      <c r="H565" s="42"/>
      <c r="I565" s="3"/>
    </row>
    <row r="566" spans="1:9" ht="14.5" x14ac:dyDescent="0.35">
      <c r="A566" s="3"/>
      <c r="B566" s="3"/>
      <c r="C566" s="46"/>
      <c r="D566" s="79"/>
      <c r="E566" s="79"/>
      <c r="F566" s="79"/>
      <c r="G566" s="79"/>
      <c r="H566" s="42"/>
      <c r="I566" s="3"/>
    </row>
    <row r="567" spans="1:9" ht="18.5" x14ac:dyDescent="0.45">
      <c r="A567" s="3"/>
      <c r="C567" s="48"/>
      <c r="D567" s="174" t="s">
        <v>52</v>
      </c>
      <c r="E567" s="174"/>
      <c r="F567" s="174"/>
      <c r="G567" s="174"/>
      <c r="H567" s="174"/>
      <c r="I567" s="3"/>
    </row>
    <row r="568" spans="1:9" ht="16" x14ac:dyDescent="0.4">
      <c r="A568" s="38"/>
      <c r="B568" s="28" t="s">
        <v>63</v>
      </c>
      <c r="C568" s="59" t="s">
        <v>63</v>
      </c>
      <c r="D568" s="175" t="s">
        <v>70</v>
      </c>
      <c r="E568" s="175"/>
      <c r="F568" s="175"/>
      <c r="G568" s="175"/>
      <c r="H568" s="175"/>
      <c r="I568" s="38"/>
    </row>
    <row r="569" spans="1:9" ht="15.9" customHeight="1" x14ac:dyDescent="0.4">
      <c r="A569" s="3"/>
      <c r="B569" s="124" t="s">
        <v>73</v>
      </c>
      <c r="C569" s="124"/>
      <c r="D569" s="124"/>
      <c r="E569" s="124"/>
      <c r="F569" s="124"/>
      <c r="G569" s="124"/>
      <c r="H569" s="124"/>
      <c r="I569" s="3"/>
    </row>
    <row r="570" spans="1:9" ht="14.5" x14ac:dyDescent="0.35">
      <c r="A570" s="3"/>
      <c r="B570" s="15"/>
      <c r="C570" s="16"/>
      <c r="D570" s="114" t="s">
        <v>7</v>
      </c>
      <c r="E570" s="115"/>
      <c r="F570" s="115"/>
      <c r="G570" s="176"/>
      <c r="H570" s="177" t="s">
        <v>63</v>
      </c>
      <c r="I570" s="3"/>
    </row>
    <row r="571" spans="1:9" ht="14.5" x14ac:dyDescent="0.35">
      <c r="A571" s="3"/>
      <c r="B571" s="13"/>
      <c r="C571" s="14"/>
      <c r="D571" s="121" t="s">
        <v>10</v>
      </c>
      <c r="E571" s="122"/>
      <c r="F571" s="122"/>
      <c r="G571" s="178"/>
      <c r="H571" s="177"/>
      <c r="I571" s="3"/>
    </row>
    <row r="572" spans="1:9" ht="14.5" x14ac:dyDescent="0.35">
      <c r="A572" s="3"/>
      <c r="B572" s="128" t="s">
        <v>11</v>
      </c>
      <c r="C572" s="130" t="s">
        <v>12</v>
      </c>
      <c r="D572" s="80" t="s">
        <v>13</v>
      </c>
      <c r="E572" s="80" t="s">
        <v>14</v>
      </c>
      <c r="F572" s="80" t="s">
        <v>15</v>
      </c>
      <c r="G572" s="81" t="s">
        <v>16</v>
      </c>
      <c r="H572" s="172" t="s">
        <v>63</v>
      </c>
      <c r="I572" s="3"/>
    </row>
    <row r="573" spans="1:9" ht="14.5" x14ac:dyDescent="0.35">
      <c r="A573" s="3"/>
      <c r="B573" s="129"/>
      <c r="C573" s="131"/>
      <c r="D573" s="141" t="s">
        <v>21</v>
      </c>
      <c r="E573" s="142"/>
      <c r="F573" s="142"/>
      <c r="G573" s="173"/>
      <c r="H573" s="172"/>
      <c r="I573" s="3"/>
    </row>
    <row r="574" spans="1:9" ht="14.5" x14ac:dyDescent="0.35">
      <c r="A574" s="3"/>
      <c r="B574" s="43">
        <v>4</v>
      </c>
      <c r="C574" s="56" t="s">
        <v>22</v>
      </c>
      <c r="D574" s="82">
        <v>33002</v>
      </c>
      <c r="E574" s="27">
        <v>0</v>
      </c>
      <c r="F574" s="83">
        <f>+E574+D574</f>
        <v>33002</v>
      </c>
      <c r="G574" s="84">
        <f>+F574</f>
        <v>33002</v>
      </c>
      <c r="H574" s="100" t="s">
        <v>63</v>
      </c>
      <c r="I574" s="3"/>
    </row>
    <row r="575" spans="1:9" ht="14.5" x14ac:dyDescent="0.35">
      <c r="A575" s="3"/>
      <c r="B575" s="50">
        <v>5</v>
      </c>
      <c r="C575" s="57" t="s">
        <v>23</v>
      </c>
      <c r="D575" s="82">
        <v>50815.1</v>
      </c>
      <c r="E575" s="27">
        <v>0</v>
      </c>
      <c r="F575" s="83">
        <f>+E575+D575</f>
        <v>50815.1</v>
      </c>
      <c r="G575" s="84">
        <f>+G574+F575</f>
        <v>83817.100000000006</v>
      </c>
      <c r="H575" s="100" t="s">
        <v>63</v>
      </c>
      <c r="I575" s="3"/>
    </row>
    <row r="576" spans="1:9" ht="14.5" x14ac:dyDescent="0.35">
      <c r="A576" s="3"/>
      <c r="B576" s="50">
        <v>6</v>
      </c>
      <c r="C576" s="57" t="s">
        <v>24</v>
      </c>
      <c r="D576" s="82">
        <v>25972.55</v>
      </c>
      <c r="E576" s="27">
        <v>0</v>
      </c>
      <c r="F576" s="83">
        <f>+E576+D576</f>
        <v>25972.55</v>
      </c>
      <c r="G576" s="84">
        <f>+G575+F576</f>
        <v>109789.65000000001</v>
      </c>
      <c r="H576" s="100" t="s">
        <v>63</v>
      </c>
      <c r="I576" s="3"/>
    </row>
    <row r="577" spans="1:11" ht="14.5" x14ac:dyDescent="0.35">
      <c r="A577" s="3"/>
      <c r="B577" s="50">
        <v>7</v>
      </c>
      <c r="C577" s="57" t="s">
        <v>25</v>
      </c>
      <c r="D577" s="82">
        <v>36148.54</v>
      </c>
      <c r="E577" s="27">
        <v>0</v>
      </c>
      <c r="F577" s="83">
        <f>+E577+D577</f>
        <v>36148.54</v>
      </c>
      <c r="G577" s="84">
        <f>+G576+F577</f>
        <v>145938.19</v>
      </c>
      <c r="H577" s="100" t="s">
        <v>63</v>
      </c>
      <c r="I577" s="3"/>
    </row>
    <row r="578" spans="1:11" ht="14.5" x14ac:dyDescent="0.35">
      <c r="A578" s="3"/>
      <c r="B578" s="43">
        <v>8</v>
      </c>
      <c r="C578" s="41" t="s">
        <v>26</v>
      </c>
      <c r="D578" s="27">
        <v>100991.16</v>
      </c>
      <c r="E578" s="27">
        <v>0</v>
      </c>
      <c r="F578" s="83">
        <f>+E578+D578</f>
        <v>100991.16</v>
      </c>
      <c r="G578" s="84">
        <f>+G577+F578</f>
        <v>246929.35</v>
      </c>
      <c r="H578" s="100"/>
      <c r="I578" s="10"/>
      <c r="J578" s="3"/>
      <c r="K578" s="3"/>
    </row>
    <row r="579" spans="1:11" s="3" customFormat="1" ht="14.5" x14ac:dyDescent="0.35">
      <c r="B579" s="43">
        <v>9</v>
      </c>
      <c r="C579" s="41" t="s">
        <v>27</v>
      </c>
      <c r="D579" s="27">
        <v>35881.56</v>
      </c>
      <c r="E579" s="27">
        <v>0</v>
      </c>
      <c r="F579" s="65">
        <f t="shared" ref="F579:F596" si="30">+E579+D579</f>
        <v>35881.56</v>
      </c>
      <c r="G579" s="85">
        <f t="shared" ref="G579:G596" si="31">+G578+F579</f>
        <v>282810.91000000003</v>
      </c>
      <c r="H579" s="100"/>
      <c r="I579" s="60"/>
      <c r="J579" s="60"/>
    </row>
    <row r="580" spans="1:11" s="3" customFormat="1" ht="14.5" hidden="1" x14ac:dyDescent="0.35">
      <c r="B580" s="43">
        <v>10</v>
      </c>
      <c r="C580" s="41" t="s">
        <v>74</v>
      </c>
      <c r="D580" s="27"/>
      <c r="E580" s="27"/>
      <c r="F580" s="65">
        <f t="shared" si="30"/>
        <v>0</v>
      </c>
      <c r="G580" s="85">
        <f t="shared" si="31"/>
        <v>282810.91000000003</v>
      </c>
      <c r="H580" s="100"/>
      <c r="I580" s="60"/>
      <c r="J580" s="60"/>
    </row>
    <row r="581" spans="1:11" s="3" customFormat="1" ht="14.5" hidden="1" x14ac:dyDescent="0.35">
      <c r="B581" s="43">
        <v>11</v>
      </c>
      <c r="C581" s="41" t="s">
        <v>75</v>
      </c>
      <c r="D581" s="27"/>
      <c r="E581" s="27"/>
      <c r="F581" s="65">
        <f t="shared" si="30"/>
        <v>0</v>
      </c>
      <c r="G581" s="85">
        <f t="shared" si="31"/>
        <v>282810.91000000003</v>
      </c>
      <c r="H581" s="100"/>
      <c r="I581" s="60"/>
      <c r="J581" s="60"/>
    </row>
    <row r="582" spans="1:11" s="3" customFormat="1" ht="14.5" hidden="1" x14ac:dyDescent="0.35">
      <c r="B582" s="43">
        <v>12</v>
      </c>
      <c r="C582" s="41" t="s">
        <v>76</v>
      </c>
      <c r="D582" s="27"/>
      <c r="E582" s="27"/>
      <c r="F582" s="65">
        <f t="shared" si="30"/>
        <v>0</v>
      </c>
      <c r="G582" s="85">
        <f t="shared" si="31"/>
        <v>282810.91000000003</v>
      </c>
      <c r="H582" s="100"/>
      <c r="I582" s="60"/>
      <c r="J582" s="60"/>
    </row>
    <row r="583" spans="1:11" s="3" customFormat="1" ht="14.5" hidden="1" x14ac:dyDescent="0.35">
      <c r="B583" s="43">
        <v>13</v>
      </c>
      <c r="C583" s="41" t="s">
        <v>77</v>
      </c>
      <c r="D583" s="27"/>
      <c r="E583" s="27"/>
      <c r="F583" s="65">
        <f t="shared" si="30"/>
        <v>0</v>
      </c>
      <c r="G583" s="85">
        <f t="shared" si="31"/>
        <v>282810.91000000003</v>
      </c>
      <c r="H583" s="100"/>
      <c r="I583" s="60"/>
      <c r="J583" s="60"/>
    </row>
    <row r="584" spans="1:11" s="3" customFormat="1" ht="14.5" hidden="1" x14ac:dyDescent="0.35">
      <c r="B584" s="43">
        <v>14</v>
      </c>
      <c r="C584" s="104" t="s">
        <v>78</v>
      </c>
      <c r="D584" s="27"/>
      <c r="E584" s="27"/>
      <c r="F584" s="65">
        <f t="shared" si="30"/>
        <v>0</v>
      </c>
      <c r="G584" s="85">
        <f t="shared" si="31"/>
        <v>282810.91000000003</v>
      </c>
      <c r="H584" s="100"/>
      <c r="I584" s="60"/>
      <c r="J584" s="60"/>
    </row>
    <row r="585" spans="1:11" s="3" customFormat="1" ht="14.5" hidden="1" x14ac:dyDescent="0.35">
      <c r="B585" s="43">
        <v>15</v>
      </c>
      <c r="C585" s="41" t="s">
        <v>79</v>
      </c>
      <c r="D585" s="27"/>
      <c r="E585" s="27"/>
      <c r="F585" s="65">
        <f t="shared" si="30"/>
        <v>0</v>
      </c>
      <c r="G585" s="85">
        <f t="shared" si="31"/>
        <v>282810.91000000003</v>
      </c>
      <c r="H585" s="100"/>
      <c r="I585" s="60"/>
      <c r="J585" s="60"/>
    </row>
    <row r="586" spans="1:11" s="3" customFormat="1" ht="14.5" hidden="1" x14ac:dyDescent="0.35">
      <c r="B586" s="43">
        <v>16</v>
      </c>
      <c r="C586" s="41" t="s">
        <v>80</v>
      </c>
      <c r="D586" s="27"/>
      <c r="E586" s="27"/>
      <c r="F586" s="65">
        <f t="shared" si="30"/>
        <v>0</v>
      </c>
      <c r="G586" s="85">
        <f t="shared" si="31"/>
        <v>282810.91000000003</v>
      </c>
      <c r="H586" s="100"/>
      <c r="I586" s="60"/>
      <c r="J586" s="60"/>
    </row>
    <row r="587" spans="1:11" s="3" customFormat="1" ht="14.5" hidden="1" x14ac:dyDescent="0.35">
      <c r="B587" s="43">
        <v>17</v>
      </c>
      <c r="C587" s="41" t="s">
        <v>81</v>
      </c>
      <c r="D587" s="27"/>
      <c r="E587" s="27"/>
      <c r="F587" s="65">
        <f t="shared" si="30"/>
        <v>0</v>
      </c>
      <c r="G587" s="85">
        <f t="shared" si="31"/>
        <v>282810.91000000003</v>
      </c>
      <c r="H587" s="100"/>
      <c r="I587" s="60"/>
      <c r="J587" s="60"/>
    </row>
    <row r="588" spans="1:11" s="3" customFormat="1" ht="14.5" hidden="1" x14ac:dyDescent="0.35">
      <c r="B588" s="43">
        <v>18</v>
      </c>
      <c r="C588" s="41" t="s">
        <v>82</v>
      </c>
      <c r="D588" s="27"/>
      <c r="E588" s="27"/>
      <c r="F588" s="65">
        <f t="shared" si="30"/>
        <v>0</v>
      </c>
      <c r="G588" s="85">
        <f t="shared" si="31"/>
        <v>282810.91000000003</v>
      </c>
      <c r="H588" s="100"/>
      <c r="I588" s="60"/>
      <c r="J588" s="60"/>
    </row>
    <row r="589" spans="1:11" s="3" customFormat="1" ht="14.5" hidden="1" x14ac:dyDescent="0.35">
      <c r="B589" s="43">
        <v>19</v>
      </c>
      <c r="C589" s="41" t="s">
        <v>83</v>
      </c>
      <c r="D589" s="27"/>
      <c r="E589" s="27"/>
      <c r="F589" s="65">
        <f t="shared" si="30"/>
        <v>0</v>
      </c>
      <c r="G589" s="85">
        <f t="shared" si="31"/>
        <v>282810.91000000003</v>
      </c>
      <c r="H589" s="100"/>
      <c r="I589" s="60"/>
      <c r="J589" s="60"/>
    </row>
    <row r="590" spans="1:11" s="3" customFormat="1" ht="14.5" hidden="1" x14ac:dyDescent="0.35">
      <c r="B590" s="43">
        <v>20</v>
      </c>
      <c r="C590" s="41" t="s">
        <v>84</v>
      </c>
      <c r="D590" s="27"/>
      <c r="E590" s="27"/>
      <c r="F590" s="65">
        <f t="shared" si="30"/>
        <v>0</v>
      </c>
      <c r="G590" s="85">
        <f t="shared" si="31"/>
        <v>282810.91000000003</v>
      </c>
      <c r="H590" s="100"/>
      <c r="I590" s="60"/>
      <c r="J590" s="60"/>
    </row>
    <row r="591" spans="1:11" s="3" customFormat="1" ht="14.5" hidden="1" x14ac:dyDescent="0.35">
      <c r="B591" s="43">
        <v>21</v>
      </c>
      <c r="C591" s="41" t="s">
        <v>85</v>
      </c>
      <c r="D591" s="27"/>
      <c r="E591" s="27"/>
      <c r="F591" s="65">
        <f t="shared" si="30"/>
        <v>0</v>
      </c>
      <c r="G591" s="85">
        <f t="shared" si="31"/>
        <v>282810.91000000003</v>
      </c>
      <c r="H591" s="100"/>
      <c r="I591" s="60"/>
      <c r="J591" s="60"/>
    </row>
    <row r="592" spans="1:11" s="3" customFormat="1" ht="14.5" hidden="1" x14ac:dyDescent="0.35">
      <c r="B592" s="43">
        <v>22</v>
      </c>
      <c r="C592" s="41" t="s">
        <v>86</v>
      </c>
      <c r="D592" s="27"/>
      <c r="E592" s="27"/>
      <c r="F592" s="65">
        <f t="shared" si="30"/>
        <v>0</v>
      </c>
      <c r="G592" s="85">
        <f t="shared" si="31"/>
        <v>282810.91000000003</v>
      </c>
      <c r="H592" s="100"/>
      <c r="I592" s="60"/>
      <c r="J592" s="60"/>
    </row>
    <row r="593" spans="1:10" s="3" customFormat="1" ht="14.5" hidden="1" x14ac:dyDescent="0.35">
      <c r="B593" s="43">
        <v>23</v>
      </c>
      <c r="C593" s="41" t="s">
        <v>87</v>
      </c>
      <c r="D593" s="27"/>
      <c r="E593" s="27"/>
      <c r="F593" s="65">
        <f t="shared" si="30"/>
        <v>0</v>
      </c>
      <c r="G593" s="85">
        <f t="shared" si="31"/>
        <v>282810.91000000003</v>
      </c>
      <c r="H593" s="100"/>
      <c r="I593" s="60"/>
      <c r="J593" s="60"/>
    </row>
    <row r="594" spans="1:10" s="3" customFormat="1" ht="14.5" hidden="1" x14ac:dyDescent="0.35">
      <c r="B594" s="43">
        <v>24</v>
      </c>
      <c r="C594" s="41" t="s">
        <v>88</v>
      </c>
      <c r="D594" s="27"/>
      <c r="E594" s="27"/>
      <c r="F594" s="65">
        <f t="shared" si="30"/>
        <v>0</v>
      </c>
      <c r="G594" s="85">
        <f t="shared" si="31"/>
        <v>282810.91000000003</v>
      </c>
      <c r="H594" s="100"/>
      <c r="I594" s="60"/>
      <c r="J594" s="60"/>
    </row>
    <row r="595" spans="1:10" s="3" customFormat="1" ht="14.5" hidden="1" x14ac:dyDescent="0.35">
      <c r="B595" s="43">
        <v>25</v>
      </c>
      <c r="C595" s="105" t="s">
        <v>89</v>
      </c>
      <c r="D595" s="27"/>
      <c r="E595" s="27"/>
      <c r="F595" s="65">
        <f t="shared" si="30"/>
        <v>0</v>
      </c>
      <c r="G595" s="85">
        <f t="shared" si="31"/>
        <v>282810.91000000003</v>
      </c>
      <c r="H595" s="100"/>
      <c r="I595" s="60"/>
      <c r="J595" s="60"/>
    </row>
    <row r="596" spans="1:10" s="3" customFormat="1" ht="14.5" hidden="1" x14ac:dyDescent="0.35">
      <c r="B596" s="43">
        <v>26</v>
      </c>
      <c r="C596" s="105" t="s">
        <v>90</v>
      </c>
      <c r="D596" s="34"/>
      <c r="E596" s="34"/>
      <c r="F596" s="94">
        <f t="shared" si="30"/>
        <v>0</v>
      </c>
      <c r="G596" s="106">
        <f t="shared" si="31"/>
        <v>282810.91000000003</v>
      </c>
      <c r="H596" s="100"/>
      <c r="I596" s="60"/>
      <c r="J596" s="60"/>
    </row>
    <row r="597" spans="1:10" ht="14.5" x14ac:dyDescent="0.35">
      <c r="A597" s="3"/>
      <c r="B597" s="5" t="s">
        <v>63</v>
      </c>
      <c r="C597" s="47" t="s">
        <v>63</v>
      </c>
      <c r="D597" s="86" t="s">
        <v>63</v>
      </c>
      <c r="E597" s="86" t="s">
        <v>63</v>
      </c>
      <c r="F597" s="86" t="s">
        <v>63</v>
      </c>
      <c r="G597" s="86" t="s">
        <v>63</v>
      </c>
      <c r="H597" s="6" t="s">
        <v>63</v>
      </c>
      <c r="I597" s="3"/>
    </row>
    <row r="598" spans="1:10" ht="14.5" x14ac:dyDescent="0.35">
      <c r="A598" s="3"/>
      <c r="B598" s="8" t="s">
        <v>44</v>
      </c>
      <c r="C598" s="58"/>
      <c r="D598" s="86" t="s">
        <v>63</v>
      </c>
      <c r="E598" s="86" t="s">
        <v>63</v>
      </c>
      <c r="F598" s="86" t="s">
        <v>63</v>
      </c>
      <c r="G598" s="86" t="s">
        <v>63</v>
      </c>
      <c r="H598" s="6" t="s">
        <v>63</v>
      </c>
      <c r="I598" s="3"/>
    </row>
    <row r="599" spans="1:10" ht="14.5" x14ac:dyDescent="0.35">
      <c r="A599" s="3"/>
      <c r="B599" s="9" t="s">
        <v>45</v>
      </c>
      <c r="C599" s="5"/>
      <c r="D599" s="6"/>
      <c r="E599" s="6"/>
      <c r="F599" s="87"/>
      <c r="G599" s="87"/>
      <c r="H599" s="101"/>
      <c r="I599" s="3"/>
    </row>
    <row r="600" spans="1:10" ht="14.5" x14ac:dyDescent="0.35">
      <c r="A600" s="3"/>
      <c r="B600" s="9" t="s">
        <v>46</v>
      </c>
      <c r="C600" s="5"/>
      <c r="D600" s="6"/>
      <c r="E600" s="6"/>
      <c r="F600" s="87"/>
      <c r="G600" s="86" t="s">
        <v>63</v>
      </c>
      <c r="H600" s="6" t="s">
        <v>63</v>
      </c>
      <c r="I600" s="3"/>
    </row>
    <row r="601" spans="1:10" ht="14.5" x14ac:dyDescent="0.35">
      <c r="A601" s="3"/>
      <c r="B601" s="9" t="s">
        <v>47</v>
      </c>
      <c r="C601" s="5"/>
      <c r="D601" s="6"/>
      <c r="E601" s="6"/>
      <c r="F601" s="86" t="s">
        <v>63</v>
      </c>
      <c r="G601" s="86" t="s">
        <v>63</v>
      </c>
      <c r="H601" s="6" t="s">
        <v>63</v>
      </c>
      <c r="I601" s="3"/>
    </row>
    <row r="602" spans="1:10" ht="14.5" x14ac:dyDescent="0.35">
      <c r="A602" s="3"/>
      <c r="B602" s="3"/>
      <c r="C602" s="46"/>
      <c r="D602" s="79"/>
      <c r="E602" s="79"/>
      <c r="F602" s="79"/>
      <c r="G602" s="79"/>
      <c r="H602" s="42"/>
      <c r="I602" s="3"/>
    </row>
    <row r="603" spans="1:10" ht="14.5" x14ac:dyDescent="0.35">
      <c r="A603" s="3"/>
      <c r="B603" s="44" t="s">
        <v>71</v>
      </c>
      <c r="C603" s="45"/>
      <c r="D603" s="78"/>
      <c r="E603" s="78"/>
      <c r="F603" s="78"/>
      <c r="G603" s="78"/>
      <c r="H603" s="99"/>
      <c r="I603" s="3"/>
    </row>
    <row r="604" spans="1:10" ht="14.5" x14ac:dyDescent="0.35">
      <c r="A604" s="3"/>
      <c r="B604" s="44" t="s">
        <v>62</v>
      </c>
      <c r="C604" s="45"/>
      <c r="D604" s="78"/>
      <c r="E604" s="78" t="s">
        <v>63</v>
      </c>
      <c r="F604" s="78" t="s">
        <v>63</v>
      </c>
      <c r="G604" s="78" t="s">
        <v>63</v>
      </c>
      <c r="H604" s="99" t="s">
        <v>63</v>
      </c>
      <c r="I604" s="3"/>
    </row>
    <row r="605" spans="1:10" ht="14.5" x14ac:dyDescent="0.35">
      <c r="A605" s="3"/>
      <c r="B605" s="51"/>
      <c r="C605" s="52"/>
      <c r="D605" s="89"/>
      <c r="E605" s="89"/>
      <c r="F605" s="89"/>
      <c r="G605" s="89"/>
      <c r="H605" s="102"/>
      <c r="I605" s="3"/>
    </row>
    <row r="606" spans="1:10" ht="14.5" x14ac:dyDescent="0.35">
      <c r="A606" s="3"/>
      <c r="B606" s="3"/>
      <c r="C606" s="46"/>
      <c r="D606" s="79"/>
      <c r="E606" s="79"/>
      <c r="F606" s="79"/>
      <c r="G606" s="79"/>
      <c r="H606" s="42"/>
      <c r="I606" s="3"/>
    </row>
    <row r="607" spans="1:10" ht="14.5" x14ac:dyDescent="0.35">
      <c r="A607" s="3"/>
      <c r="B607" s="3"/>
      <c r="C607" s="46"/>
      <c r="D607" s="79"/>
      <c r="E607" s="79"/>
      <c r="F607" s="79"/>
      <c r="G607" s="79"/>
      <c r="H607" s="42"/>
      <c r="I607" s="3"/>
    </row>
    <row r="608" spans="1:10" ht="16.5" customHeight="1" x14ac:dyDescent="0.45">
      <c r="A608" s="35"/>
      <c r="B608" s="36" t="s">
        <v>63</v>
      </c>
      <c r="C608" s="55" t="s">
        <v>63</v>
      </c>
      <c r="D608" s="183" t="s">
        <v>72</v>
      </c>
      <c r="E608" s="183"/>
      <c r="F608" s="183"/>
      <c r="G608" s="183"/>
      <c r="H608" s="183"/>
      <c r="I608" s="2" t="s">
        <v>0</v>
      </c>
    </row>
    <row r="609" spans="1:11" ht="15.9" customHeight="1" x14ac:dyDescent="0.4">
      <c r="A609" s="3"/>
      <c r="B609" s="124" t="s">
        <v>73</v>
      </c>
      <c r="C609" s="124"/>
      <c r="D609" s="124"/>
      <c r="E609" s="124"/>
      <c r="F609" s="124"/>
      <c r="G609" s="124"/>
      <c r="H609" s="124"/>
      <c r="I609" s="2" t="s">
        <v>1</v>
      </c>
    </row>
    <row r="610" spans="1:11" ht="14.5" x14ac:dyDescent="0.35">
      <c r="A610" s="3"/>
      <c r="B610" s="15"/>
      <c r="C610" s="16"/>
      <c r="D610" s="114" t="s">
        <v>7</v>
      </c>
      <c r="E610" s="115"/>
      <c r="F610" s="115"/>
      <c r="G610" s="176"/>
      <c r="H610" s="177" t="s">
        <v>63</v>
      </c>
      <c r="I610" s="2" t="s">
        <v>2</v>
      </c>
    </row>
    <row r="611" spans="1:11" ht="14.5" x14ac:dyDescent="0.35">
      <c r="A611" s="3"/>
      <c r="B611" s="13"/>
      <c r="C611" s="14"/>
      <c r="D611" s="121" t="s">
        <v>10</v>
      </c>
      <c r="E611" s="122"/>
      <c r="F611" s="122"/>
      <c r="G611" s="178"/>
      <c r="H611" s="177"/>
      <c r="I611" s="2" t="s">
        <v>3</v>
      </c>
    </row>
    <row r="612" spans="1:11" ht="14.5" x14ac:dyDescent="0.35">
      <c r="A612" s="3"/>
      <c r="B612" s="128" t="s">
        <v>11</v>
      </c>
      <c r="C612" s="130" t="s">
        <v>12</v>
      </c>
      <c r="D612" s="80" t="s">
        <v>13</v>
      </c>
      <c r="E612" s="80" t="s">
        <v>14</v>
      </c>
      <c r="F612" s="80" t="s">
        <v>15</v>
      </c>
      <c r="G612" s="81" t="s">
        <v>16</v>
      </c>
      <c r="H612" s="172" t="s">
        <v>63</v>
      </c>
      <c r="I612" s="2" t="s">
        <v>4</v>
      </c>
    </row>
    <row r="613" spans="1:11" ht="14.5" x14ac:dyDescent="0.35">
      <c r="A613" s="3"/>
      <c r="B613" s="129"/>
      <c r="C613" s="131"/>
      <c r="D613" s="141" t="s">
        <v>21</v>
      </c>
      <c r="E613" s="142"/>
      <c r="F613" s="142"/>
      <c r="G613" s="173"/>
      <c r="H613" s="172"/>
      <c r="I613" s="3"/>
    </row>
    <row r="614" spans="1:11" ht="14.5" x14ac:dyDescent="0.35">
      <c r="A614" s="3"/>
      <c r="B614" s="43">
        <v>4</v>
      </c>
      <c r="C614" s="56" t="s">
        <v>22</v>
      </c>
      <c r="D614" s="82">
        <v>82728.69</v>
      </c>
      <c r="E614" s="27">
        <v>0</v>
      </c>
      <c r="F614" s="83">
        <f>+E614+D614</f>
        <v>82728.69</v>
      </c>
      <c r="G614" s="84">
        <f>+F614</f>
        <v>82728.69</v>
      </c>
      <c r="H614" s="100" t="s">
        <v>63</v>
      </c>
      <c r="I614" s="3"/>
    </row>
    <row r="615" spans="1:11" ht="14.5" x14ac:dyDescent="0.35">
      <c r="A615" s="3"/>
      <c r="B615" s="50">
        <v>5</v>
      </c>
      <c r="C615" s="57" t="s">
        <v>23</v>
      </c>
      <c r="D615" s="82">
        <v>43278.53</v>
      </c>
      <c r="E615" s="27">
        <v>0</v>
      </c>
      <c r="F615" s="83">
        <f>+E615+D615</f>
        <v>43278.53</v>
      </c>
      <c r="G615" s="84">
        <f>+G614+F615</f>
        <v>126007.22</v>
      </c>
      <c r="H615" s="100" t="s">
        <v>63</v>
      </c>
      <c r="I615" s="3"/>
    </row>
    <row r="616" spans="1:11" ht="14.5" x14ac:dyDescent="0.35">
      <c r="A616" s="3"/>
      <c r="B616" s="50">
        <v>6</v>
      </c>
      <c r="C616" s="57" t="s">
        <v>24</v>
      </c>
      <c r="D616" s="82">
        <v>243466.02</v>
      </c>
      <c r="E616" s="27">
        <v>0</v>
      </c>
      <c r="F616" s="83">
        <f>+E616+D616</f>
        <v>243466.02</v>
      </c>
      <c r="G616" s="84">
        <f>+G615+F616</f>
        <v>369473.24</v>
      </c>
      <c r="H616" s="100" t="s">
        <v>63</v>
      </c>
      <c r="I616" s="3"/>
    </row>
    <row r="617" spans="1:11" ht="14.5" x14ac:dyDescent="0.35">
      <c r="A617" s="3"/>
      <c r="B617" s="50">
        <v>7</v>
      </c>
      <c r="C617" s="57" t="s">
        <v>25</v>
      </c>
      <c r="D617" s="82">
        <v>128048.59</v>
      </c>
      <c r="E617" s="27">
        <f>144440.09-128048.59</f>
        <v>16391.5</v>
      </c>
      <c r="F617" s="83">
        <f>+E617+D617</f>
        <v>144440.09</v>
      </c>
      <c r="G617" s="84">
        <f>+G616+F617</f>
        <v>513913.32999999996</v>
      </c>
      <c r="H617" s="100" t="s">
        <v>63</v>
      </c>
      <c r="I617" s="3"/>
    </row>
    <row r="618" spans="1:11" ht="14.5" x14ac:dyDescent="0.35">
      <c r="A618" s="3"/>
      <c r="B618" s="43">
        <v>8</v>
      </c>
      <c r="C618" s="41" t="s">
        <v>26</v>
      </c>
      <c r="D618" s="27">
        <v>176977.01</v>
      </c>
      <c r="E618" s="27">
        <v>0</v>
      </c>
      <c r="F618" s="83">
        <f>+E618+D618</f>
        <v>176977.01</v>
      </c>
      <c r="G618" s="84">
        <f>+G617+F618</f>
        <v>690890.34</v>
      </c>
      <c r="H618" s="100"/>
      <c r="I618" s="10"/>
      <c r="J618" s="3"/>
      <c r="K618" s="3"/>
    </row>
    <row r="619" spans="1:11" s="3" customFormat="1" ht="14.5" x14ac:dyDescent="0.35">
      <c r="B619" s="43">
        <v>9</v>
      </c>
      <c r="C619" s="41" t="s">
        <v>27</v>
      </c>
      <c r="D619" s="27">
        <v>147726.51</v>
      </c>
      <c r="E619" s="27">
        <v>0</v>
      </c>
      <c r="F619" s="65">
        <f t="shared" ref="F619:F636" si="32">+E619+D619</f>
        <v>147726.51</v>
      </c>
      <c r="G619" s="85">
        <f t="shared" ref="G619:G636" si="33">+G618+F619</f>
        <v>838616.85</v>
      </c>
      <c r="H619" s="100"/>
      <c r="I619" s="60"/>
      <c r="J619" s="60"/>
    </row>
    <row r="620" spans="1:11" s="3" customFormat="1" ht="14.5" hidden="1" x14ac:dyDescent="0.35">
      <c r="B620" s="43">
        <v>10</v>
      </c>
      <c r="C620" s="41" t="s">
        <v>74</v>
      </c>
      <c r="D620" s="27"/>
      <c r="E620" s="27"/>
      <c r="F620" s="65">
        <f>+E620+D620</f>
        <v>0</v>
      </c>
      <c r="G620" s="85">
        <f>+G619+F620</f>
        <v>838616.85</v>
      </c>
      <c r="H620" s="100"/>
      <c r="I620" s="60"/>
      <c r="J620" s="60"/>
    </row>
    <row r="621" spans="1:11" s="3" customFormat="1" ht="14.5" hidden="1" x14ac:dyDescent="0.35">
      <c r="B621" s="43">
        <v>11</v>
      </c>
      <c r="C621" s="41" t="s">
        <v>75</v>
      </c>
      <c r="D621" s="27"/>
      <c r="E621" s="27"/>
      <c r="F621" s="65">
        <f t="shared" si="32"/>
        <v>0</v>
      </c>
      <c r="G621" s="85">
        <f>+G620+F621</f>
        <v>838616.85</v>
      </c>
      <c r="H621" s="100"/>
      <c r="I621" s="60"/>
      <c r="J621" s="60"/>
    </row>
    <row r="622" spans="1:11" s="3" customFormat="1" ht="14.5" hidden="1" x14ac:dyDescent="0.35">
      <c r="B622" s="43">
        <v>12</v>
      </c>
      <c r="C622" s="41" t="s">
        <v>76</v>
      </c>
      <c r="D622" s="27"/>
      <c r="E622" s="27"/>
      <c r="F622" s="65">
        <f t="shared" si="32"/>
        <v>0</v>
      </c>
      <c r="G622" s="85">
        <f t="shared" si="33"/>
        <v>838616.85</v>
      </c>
      <c r="H622" s="100"/>
      <c r="I622" s="60"/>
      <c r="J622" s="60"/>
    </row>
    <row r="623" spans="1:11" s="3" customFormat="1" ht="14.5" hidden="1" x14ac:dyDescent="0.35">
      <c r="B623" s="43">
        <v>13</v>
      </c>
      <c r="C623" s="41" t="s">
        <v>77</v>
      </c>
      <c r="D623" s="27"/>
      <c r="E623" s="27"/>
      <c r="F623" s="65">
        <f t="shared" si="32"/>
        <v>0</v>
      </c>
      <c r="G623" s="85">
        <f t="shared" si="33"/>
        <v>838616.85</v>
      </c>
      <c r="H623" s="100"/>
      <c r="I623" s="60"/>
      <c r="J623" s="60"/>
    </row>
    <row r="624" spans="1:11" s="3" customFormat="1" ht="14.5" hidden="1" x14ac:dyDescent="0.35">
      <c r="B624" s="43">
        <v>14</v>
      </c>
      <c r="C624" s="104" t="s">
        <v>78</v>
      </c>
      <c r="D624" s="27"/>
      <c r="E624" s="27"/>
      <c r="F624" s="65">
        <f t="shared" si="32"/>
        <v>0</v>
      </c>
      <c r="G624" s="85">
        <f t="shared" si="33"/>
        <v>838616.85</v>
      </c>
      <c r="H624" s="100"/>
      <c r="I624" s="60"/>
      <c r="J624" s="60"/>
    </row>
    <row r="625" spans="1:10" s="3" customFormat="1" ht="14.5" hidden="1" x14ac:dyDescent="0.35">
      <c r="B625" s="43">
        <v>15</v>
      </c>
      <c r="C625" s="41" t="s">
        <v>79</v>
      </c>
      <c r="D625" s="27"/>
      <c r="E625" s="27"/>
      <c r="F625" s="65">
        <f t="shared" si="32"/>
        <v>0</v>
      </c>
      <c r="G625" s="85">
        <f t="shared" si="33"/>
        <v>838616.85</v>
      </c>
      <c r="H625" s="100"/>
      <c r="I625" s="60"/>
      <c r="J625" s="60"/>
    </row>
    <row r="626" spans="1:10" s="3" customFormat="1" ht="14.5" hidden="1" x14ac:dyDescent="0.35">
      <c r="B626" s="43">
        <v>16</v>
      </c>
      <c r="C626" s="41" t="s">
        <v>80</v>
      </c>
      <c r="D626" s="27"/>
      <c r="E626" s="27"/>
      <c r="F626" s="65">
        <f t="shared" si="32"/>
        <v>0</v>
      </c>
      <c r="G626" s="85">
        <f t="shared" si="33"/>
        <v>838616.85</v>
      </c>
      <c r="H626" s="100"/>
      <c r="I626" s="60"/>
      <c r="J626" s="60"/>
    </row>
    <row r="627" spans="1:10" s="3" customFormat="1" ht="14.5" hidden="1" x14ac:dyDescent="0.35">
      <c r="B627" s="43">
        <v>17</v>
      </c>
      <c r="C627" s="41" t="s">
        <v>81</v>
      </c>
      <c r="D627" s="27"/>
      <c r="E627" s="27"/>
      <c r="F627" s="65">
        <f t="shared" si="32"/>
        <v>0</v>
      </c>
      <c r="G627" s="85">
        <f t="shared" si="33"/>
        <v>838616.85</v>
      </c>
      <c r="H627" s="100"/>
      <c r="I627" s="60"/>
      <c r="J627" s="60"/>
    </row>
    <row r="628" spans="1:10" s="3" customFormat="1" ht="14.5" hidden="1" x14ac:dyDescent="0.35">
      <c r="B628" s="43">
        <v>18</v>
      </c>
      <c r="C628" s="41" t="s">
        <v>82</v>
      </c>
      <c r="D628" s="27"/>
      <c r="E628" s="27"/>
      <c r="F628" s="65">
        <f t="shared" si="32"/>
        <v>0</v>
      </c>
      <c r="G628" s="85">
        <f t="shared" si="33"/>
        <v>838616.85</v>
      </c>
      <c r="H628" s="100"/>
      <c r="I628" s="60"/>
      <c r="J628" s="60"/>
    </row>
    <row r="629" spans="1:10" s="3" customFormat="1" ht="14.5" hidden="1" x14ac:dyDescent="0.35">
      <c r="B629" s="43">
        <v>19</v>
      </c>
      <c r="C629" s="41" t="s">
        <v>83</v>
      </c>
      <c r="D629" s="27"/>
      <c r="E629" s="27"/>
      <c r="F629" s="65">
        <f t="shared" si="32"/>
        <v>0</v>
      </c>
      <c r="G629" s="85">
        <f t="shared" si="33"/>
        <v>838616.85</v>
      </c>
      <c r="H629" s="100"/>
      <c r="I629" s="60"/>
      <c r="J629" s="60"/>
    </row>
    <row r="630" spans="1:10" s="3" customFormat="1" ht="14.5" hidden="1" x14ac:dyDescent="0.35">
      <c r="B630" s="43">
        <v>20</v>
      </c>
      <c r="C630" s="41" t="s">
        <v>84</v>
      </c>
      <c r="D630" s="27"/>
      <c r="E630" s="27"/>
      <c r="F630" s="65">
        <f t="shared" si="32"/>
        <v>0</v>
      </c>
      <c r="G630" s="85">
        <f t="shared" si="33"/>
        <v>838616.85</v>
      </c>
      <c r="H630" s="100"/>
      <c r="I630" s="60"/>
      <c r="J630" s="60"/>
    </row>
    <row r="631" spans="1:10" s="3" customFormat="1" ht="14.5" hidden="1" x14ac:dyDescent="0.35">
      <c r="B631" s="43">
        <v>21</v>
      </c>
      <c r="C631" s="41" t="s">
        <v>85</v>
      </c>
      <c r="D631" s="27"/>
      <c r="E631" s="27"/>
      <c r="F631" s="65">
        <f t="shared" si="32"/>
        <v>0</v>
      </c>
      <c r="G631" s="85">
        <f t="shared" si="33"/>
        <v>838616.85</v>
      </c>
      <c r="H631" s="100"/>
      <c r="I631" s="60"/>
      <c r="J631" s="60"/>
    </row>
    <row r="632" spans="1:10" s="3" customFormat="1" ht="14.5" hidden="1" x14ac:dyDescent="0.35">
      <c r="B632" s="43">
        <v>22</v>
      </c>
      <c r="C632" s="41" t="s">
        <v>86</v>
      </c>
      <c r="D632" s="27"/>
      <c r="E632" s="27"/>
      <c r="F632" s="65">
        <f t="shared" si="32"/>
        <v>0</v>
      </c>
      <c r="G632" s="85">
        <f t="shared" si="33"/>
        <v>838616.85</v>
      </c>
      <c r="H632" s="100"/>
      <c r="I632" s="60"/>
      <c r="J632" s="60"/>
    </row>
    <row r="633" spans="1:10" s="3" customFormat="1" ht="14.5" hidden="1" x14ac:dyDescent="0.35">
      <c r="B633" s="43">
        <v>23</v>
      </c>
      <c r="C633" s="41" t="s">
        <v>87</v>
      </c>
      <c r="D633" s="27"/>
      <c r="E633" s="27"/>
      <c r="F633" s="65">
        <f t="shared" si="32"/>
        <v>0</v>
      </c>
      <c r="G633" s="85">
        <f t="shared" si="33"/>
        <v>838616.85</v>
      </c>
      <c r="H633" s="100"/>
      <c r="I633" s="60"/>
      <c r="J633" s="60"/>
    </row>
    <row r="634" spans="1:10" s="3" customFormat="1" ht="14.5" hidden="1" x14ac:dyDescent="0.35">
      <c r="B634" s="43">
        <v>24</v>
      </c>
      <c r="C634" s="41" t="s">
        <v>88</v>
      </c>
      <c r="D634" s="27"/>
      <c r="E634" s="27"/>
      <c r="F634" s="65">
        <f t="shared" si="32"/>
        <v>0</v>
      </c>
      <c r="G634" s="85">
        <f t="shared" si="33"/>
        <v>838616.85</v>
      </c>
      <c r="H634" s="100"/>
      <c r="I634" s="60"/>
      <c r="J634" s="60"/>
    </row>
    <row r="635" spans="1:10" s="3" customFormat="1" ht="14.5" hidden="1" x14ac:dyDescent="0.35">
      <c r="B635" s="43">
        <v>25</v>
      </c>
      <c r="C635" s="105" t="s">
        <v>89</v>
      </c>
      <c r="D635" s="27"/>
      <c r="E635" s="27"/>
      <c r="F635" s="65">
        <f t="shared" si="32"/>
        <v>0</v>
      </c>
      <c r="G635" s="85">
        <f>+G634+F635</f>
        <v>838616.85</v>
      </c>
      <c r="H635" s="100"/>
      <c r="I635" s="60"/>
      <c r="J635" s="60"/>
    </row>
    <row r="636" spans="1:10" s="3" customFormat="1" ht="14.5" hidden="1" x14ac:dyDescent="0.35">
      <c r="B636" s="43">
        <v>26</v>
      </c>
      <c r="C636" s="105" t="s">
        <v>90</v>
      </c>
      <c r="D636" s="34"/>
      <c r="E636" s="34"/>
      <c r="F636" s="94">
        <f t="shared" si="32"/>
        <v>0</v>
      </c>
      <c r="G636" s="106">
        <f t="shared" si="33"/>
        <v>838616.85</v>
      </c>
      <c r="H636" s="100"/>
      <c r="I636" s="60"/>
      <c r="J636" s="60"/>
    </row>
    <row r="637" spans="1:10" ht="14.5" x14ac:dyDescent="0.35">
      <c r="A637" s="3"/>
      <c r="B637" s="5" t="s">
        <v>63</v>
      </c>
      <c r="C637" s="47" t="s">
        <v>63</v>
      </c>
      <c r="D637" s="86" t="s">
        <v>63</v>
      </c>
      <c r="E637" s="86" t="s">
        <v>63</v>
      </c>
      <c r="F637" s="86" t="s">
        <v>63</v>
      </c>
      <c r="G637" s="86" t="s">
        <v>63</v>
      </c>
      <c r="H637" s="6" t="s">
        <v>63</v>
      </c>
      <c r="I637" s="3"/>
    </row>
    <row r="638" spans="1:10" ht="14.5" x14ac:dyDescent="0.35">
      <c r="A638" s="3"/>
      <c r="B638" s="8" t="s">
        <v>44</v>
      </c>
      <c r="C638" s="58"/>
      <c r="D638" s="86" t="s">
        <v>63</v>
      </c>
      <c r="E638" s="86" t="s">
        <v>63</v>
      </c>
      <c r="F638" s="86" t="s">
        <v>63</v>
      </c>
      <c r="G638" s="86" t="s">
        <v>63</v>
      </c>
      <c r="H638" s="6" t="s">
        <v>63</v>
      </c>
      <c r="I638" s="3"/>
    </row>
    <row r="639" spans="1:10" ht="14.5" x14ac:dyDescent="0.35">
      <c r="A639" s="3"/>
      <c r="B639" s="9" t="s">
        <v>45</v>
      </c>
      <c r="C639" s="5"/>
      <c r="D639" s="6"/>
      <c r="E639" s="6"/>
      <c r="F639" s="87"/>
      <c r="G639" s="87"/>
      <c r="H639" s="101"/>
      <c r="I639" s="3"/>
    </row>
    <row r="640" spans="1:10" ht="14.5" x14ac:dyDescent="0.35">
      <c r="A640" s="3"/>
      <c r="B640" s="9" t="s">
        <v>46</v>
      </c>
      <c r="C640" s="5"/>
      <c r="D640" s="6"/>
      <c r="E640" s="6"/>
      <c r="F640" s="87"/>
      <c r="G640" s="86" t="s">
        <v>63</v>
      </c>
      <c r="H640" s="6" t="s">
        <v>63</v>
      </c>
      <c r="I640" s="3"/>
    </row>
    <row r="641" spans="1:15" ht="14.5" x14ac:dyDescent="0.35">
      <c r="A641" s="3"/>
      <c r="B641" s="9" t="s">
        <v>47</v>
      </c>
      <c r="C641" s="5"/>
      <c r="D641" s="6"/>
      <c r="E641" s="6"/>
      <c r="F641" s="86" t="s">
        <v>63</v>
      </c>
      <c r="G641" s="86" t="s">
        <v>63</v>
      </c>
      <c r="H641" s="6" t="s">
        <v>63</v>
      </c>
      <c r="I641" s="3"/>
    </row>
    <row r="642" spans="1:15" ht="14.5" x14ac:dyDescent="0.35">
      <c r="A642" s="3"/>
      <c r="B642" s="9" t="s">
        <v>63</v>
      </c>
      <c r="C642" s="47" t="s">
        <v>63</v>
      </c>
      <c r="D642" s="86" t="s">
        <v>63</v>
      </c>
      <c r="E642" s="86" t="s">
        <v>63</v>
      </c>
      <c r="F642" s="86" t="s">
        <v>63</v>
      </c>
      <c r="G642" s="86" t="s">
        <v>63</v>
      </c>
      <c r="H642" s="6" t="s">
        <v>63</v>
      </c>
      <c r="I642" s="3"/>
    </row>
    <row r="643" spans="1:15" ht="14.5" x14ac:dyDescent="0.35">
      <c r="A643" s="3"/>
      <c r="B643" s="9" t="s">
        <v>63</v>
      </c>
      <c r="C643" s="47" t="s">
        <v>63</v>
      </c>
      <c r="D643" s="86" t="s">
        <v>63</v>
      </c>
      <c r="E643" s="86" t="s">
        <v>63</v>
      </c>
      <c r="F643" s="86" t="s">
        <v>63</v>
      </c>
      <c r="G643" s="86" t="s">
        <v>63</v>
      </c>
      <c r="H643" s="6" t="s">
        <v>63</v>
      </c>
      <c r="I643" s="3"/>
    </row>
    <row r="644" spans="1:15" ht="18.5" x14ac:dyDescent="0.45">
      <c r="A644" s="3"/>
      <c r="C644" s="48"/>
      <c r="D644" s="181" t="s">
        <v>48</v>
      </c>
      <c r="E644" s="181"/>
      <c r="F644" s="181"/>
      <c r="G644" s="181"/>
      <c r="H644" s="181"/>
      <c r="I644" s="3"/>
    </row>
    <row r="645" spans="1:15" ht="16" x14ac:dyDescent="0.4">
      <c r="A645" s="38"/>
      <c r="B645" s="28" t="s">
        <v>63</v>
      </c>
      <c r="C645" s="59" t="s">
        <v>63</v>
      </c>
      <c r="D645" s="182" t="s">
        <v>72</v>
      </c>
      <c r="E645" s="182"/>
      <c r="F645" s="182"/>
      <c r="G645" s="182"/>
      <c r="H645" s="182"/>
      <c r="I645" s="38"/>
    </row>
    <row r="646" spans="1:15" ht="15.9" customHeight="1" x14ac:dyDescent="0.4">
      <c r="A646" s="3"/>
      <c r="B646" s="124" t="s">
        <v>73</v>
      </c>
      <c r="C646" s="124"/>
      <c r="D646" s="124"/>
      <c r="E646" s="124"/>
      <c r="F646" s="124"/>
      <c r="G646" s="124"/>
      <c r="H646" s="124"/>
      <c r="I646" s="3"/>
    </row>
    <row r="647" spans="1:15" ht="14.5" x14ac:dyDescent="0.35">
      <c r="A647" s="3"/>
      <c r="B647" s="15"/>
      <c r="C647" s="16"/>
      <c r="D647" s="114" t="s">
        <v>7</v>
      </c>
      <c r="E647" s="115"/>
      <c r="F647" s="115"/>
      <c r="G647" s="176"/>
      <c r="H647" s="177" t="s">
        <v>63</v>
      </c>
      <c r="I647" s="3"/>
    </row>
    <row r="648" spans="1:15" ht="14.5" x14ac:dyDescent="0.35">
      <c r="A648" s="3"/>
      <c r="B648" s="13"/>
      <c r="C648" s="14"/>
      <c r="D648" s="121" t="s">
        <v>10</v>
      </c>
      <c r="E648" s="122"/>
      <c r="F648" s="122"/>
      <c r="G648" s="178"/>
      <c r="H648" s="177"/>
      <c r="I648" s="3"/>
    </row>
    <row r="649" spans="1:15" ht="14.5" x14ac:dyDescent="0.35">
      <c r="A649" s="3"/>
      <c r="B649" s="128" t="s">
        <v>11</v>
      </c>
      <c r="C649" s="130" t="s">
        <v>12</v>
      </c>
      <c r="D649" s="80" t="s">
        <v>13</v>
      </c>
      <c r="E649" s="80" t="s">
        <v>14</v>
      </c>
      <c r="F649" s="80" t="s">
        <v>15</v>
      </c>
      <c r="G649" s="81" t="s">
        <v>16</v>
      </c>
      <c r="H649" s="172" t="s">
        <v>63</v>
      </c>
      <c r="I649" s="3"/>
    </row>
    <row r="650" spans="1:15" ht="14.5" x14ac:dyDescent="0.35">
      <c r="A650" s="3"/>
      <c r="B650" s="129"/>
      <c r="C650" s="131"/>
      <c r="D650" s="141" t="s">
        <v>21</v>
      </c>
      <c r="E650" s="142"/>
      <c r="F650" s="142"/>
      <c r="G650" s="173"/>
      <c r="H650" s="172"/>
      <c r="I650" s="3"/>
      <c r="N650" s="97"/>
    </row>
    <row r="651" spans="1:15" ht="14.5" x14ac:dyDescent="0.35">
      <c r="A651" s="3"/>
      <c r="B651" s="43">
        <v>4</v>
      </c>
      <c r="C651" s="56" t="s">
        <v>22</v>
      </c>
      <c r="D651" s="82">
        <v>82728.69</v>
      </c>
      <c r="E651" s="27">
        <v>0</v>
      </c>
      <c r="F651" s="83">
        <f>+E651+D651</f>
        <v>82728.69</v>
      </c>
      <c r="G651" s="84">
        <f>+F651</f>
        <v>82728.69</v>
      </c>
      <c r="H651" s="100" t="s">
        <v>63</v>
      </c>
      <c r="I651" s="3"/>
    </row>
    <row r="652" spans="1:15" ht="14.5" x14ac:dyDescent="0.35">
      <c r="A652" s="3"/>
      <c r="B652" s="50">
        <v>5</v>
      </c>
      <c r="C652" s="57" t="s">
        <v>23</v>
      </c>
      <c r="D652" s="82">
        <v>20474.5</v>
      </c>
      <c r="E652" s="27">
        <v>0</v>
      </c>
      <c r="F652" s="83">
        <f>+E652+D652</f>
        <v>20474.5</v>
      </c>
      <c r="G652" s="84">
        <f>+G651+F652</f>
        <v>103203.19</v>
      </c>
      <c r="H652" s="100" t="s">
        <v>63</v>
      </c>
      <c r="I652" s="3"/>
    </row>
    <row r="653" spans="1:15" ht="14.5" x14ac:dyDescent="0.35">
      <c r="A653" s="3"/>
      <c r="B653" s="50">
        <v>6</v>
      </c>
      <c r="C653" s="57" t="s">
        <v>24</v>
      </c>
      <c r="D653" s="82">
        <v>229438</v>
      </c>
      <c r="E653" s="27">
        <v>0</v>
      </c>
      <c r="F653" s="83">
        <f>+E653+D653</f>
        <v>229438</v>
      </c>
      <c r="G653" s="84">
        <f>+G652+F653</f>
        <v>332641.19</v>
      </c>
      <c r="H653" s="100" t="s">
        <v>63</v>
      </c>
      <c r="I653" s="3"/>
      <c r="O653" s="98"/>
    </row>
    <row r="654" spans="1:15" ht="14.5" x14ac:dyDescent="0.35">
      <c r="A654" s="3"/>
      <c r="B654" s="50">
        <v>7</v>
      </c>
      <c r="C654" s="57" t="s">
        <v>25</v>
      </c>
      <c r="D654" s="82">
        <v>98529.51</v>
      </c>
      <c r="E654" s="27">
        <f>114921.01-98529.51</f>
        <v>16391.5</v>
      </c>
      <c r="F654" s="83">
        <f>+E654+D654</f>
        <v>114921.01</v>
      </c>
      <c r="G654" s="84">
        <f>+G653+F654</f>
        <v>447562.2</v>
      </c>
      <c r="H654" s="100" t="s">
        <v>63</v>
      </c>
      <c r="I654" s="3"/>
    </row>
    <row r="655" spans="1:15" ht="14.5" x14ac:dyDescent="0.35">
      <c r="A655" s="3"/>
      <c r="B655" s="43">
        <v>8</v>
      </c>
      <c r="C655" s="41" t="s">
        <v>26</v>
      </c>
      <c r="D655" s="27">
        <v>152870</v>
      </c>
      <c r="E655" s="27">
        <v>0</v>
      </c>
      <c r="F655" s="83">
        <f>+E655+D655</f>
        <v>152870</v>
      </c>
      <c r="G655" s="84">
        <f>+G654+F655</f>
        <v>600432.19999999995</v>
      </c>
      <c r="H655" s="100"/>
      <c r="I655" s="10"/>
      <c r="J655" s="3"/>
      <c r="K655" s="3"/>
    </row>
    <row r="656" spans="1:15" s="3" customFormat="1" ht="14.5" x14ac:dyDescent="0.35">
      <c r="B656" s="43">
        <v>9</v>
      </c>
      <c r="C656" s="41" t="s">
        <v>27</v>
      </c>
      <c r="D656" s="27">
        <v>145564</v>
      </c>
      <c r="E656" s="27">
        <v>0</v>
      </c>
      <c r="F656" s="65">
        <f t="shared" ref="F656:F673" si="34">+E656+D656</f>
        <v>145564</v>
      </c>
      <c r="G656" s="85">
        <f t="shared" ref="G656:G673" si="35">+G655+F656</f>
        <v>745996.2</v>
      </c>
      <c r="H656" s="100"/>
      <c r="I656" s="60"/>
      <c r="J656" s="60"/>
    </row>
    <row r="657" spans="2:10" s="3" customFormat="1" ht="14.5" hidden="1" x14ac:dyDescent="0.35">
      <c r="B657" s="43">
        <v>10</v>
      </c>
      <c r="C657" s="41" t="s">
        <v>74</v>
      </c>
      <c r="D657" s="27"/>
      <c r="E657" s="27"/>
      <c r="F657" s="65">
        <f t="shared" si="34"/>
        <v>0</v>
      </c>
      <c r="G657" s="85">
        <f t="shared" si="35"/>
        <v>745996.2</v>
      </c>
      <c r="H657" s="100"/>
      <c r="I657" s="60"/>
      <c r="J657" s="60"/>
    </row>
    <row r="658" spans="2:10" s="3" customFormat="1" ht="14.5" hidden="1" x14ac:dyDescent="0.35">
      <c r="B658" s="43">
        <v>11</v>
      </c>
      <c r="C658" s="41" t="s">
        <v>75</v>
      </c>
      <c r="D658" s="27"/>
      <c r="E658" s="27"/>
      <c r="F658" s="65">
        <f t="shared" si="34"/>
        <v>0</v>
      </c>
      <c r="G658" s="85">
        <f t="shared" si="35"/>
        <v>745996.2</v>
      </c>
      <c r="H658" s="100"/>
      <c r="I658" s="60"/>
      <c r="J658" s="60"/>
    </row>
    <row r="659" spans="2:10" s="3" customFormat="1" ht="14.5" hidden="1" x14ac:dyDescent="0.35">
      <c r="B659" s="43">
        <v>12</v>
      </c>
      <c r="C659" s="41" t="s">
        <v>76</v>
      </c>
      <c r="D659" s="27"/>
      <c r="E659" s="27"/>
      <c r="F659" s="65">
        <f t="shared" si="34"/>
        <v>0</v>
      </c>
      <c r="G659" s="85">
        <f t="shared" si="35"/>
        <v>745996.2</v>
      </c>
      <c r="H659" s="100"/>
      <c r="I659" s="60"/>
      <c r="J659" s="60"/>
    </row>
    <row r="660" spans="2:10" s="3" customFormat="1" ht="14.5" hidden="1" x14ac:dyDescent="0.35">
      <c r="B660" s="43">
        <v>13</v>
      </c>
      <c r="C660" s="41" t="s">
        <v>77</v>
      </c>
      <c r="D660" s="27"/>
      <c r="E660" s="27"/>
      <c r="F660" s="65">
        <f t="shared" si="34"/>
        <v>0</v>
      </c>
      <c r="G660" s="85">
        <f t="shared" si="35"/>
        <v>745996.2</v>
      </c>
      <c r="H660" s="100"/>
      <c r="I660" s="60"/>
      <c r="J660" s="60"/>
    </row>
    <row r="661" spans="2:10" s="3" customFormat="1" ht="14.5" hidden="1" x14ac:dyDescent="0.35">
      <c r="B661" s="43">
        <v>14</v>
      </c>
      <c r="C661" s="104" t="s">
        <v>78</v>
      </c>
      <c r="D661" s="27"/>
      <c r="E661" s="27"/>
      <c r="F661" s="65">
        <f t="shared" si="34"/>
        <v>0</v>
      </c>
      <c r="G661" s="85">
        <f t="shared" si="35"/>
        <v>745996.2</v>
      </c>
      <c r="H661" s="100"/>
      <c r="I661" s="60"/>
      <c r="J661" s="60"/>
    </row>
    <row r="662" spans="2:10" s="3" customFormat="1" ht="14.5" hidden="1" x14ac:dyDescent="0.35">
      <c r="B662" s="43">
        <v>15</v>
      </c>
      <c r="C662" s="41" t="s">
        <v>79</v>
      </c>
      <c r="D662" s="27"/>
      <c r="E662" s="27"/>
      <c r="F662" s="65">
        <f t="shared" si="34"/>
        <v>0</v>
      </c>
      <c r="G662" s="85">
        <f t="shared" si="35"/>
        <v>745996.2</v>
      </c>
      <c r="H662" s="100"/>
      <c r="I662" s="60"/>
      <c r="J662" s="60"/>
    </row>
    <row r="663" spans="2:10" s="3" customFormat="1" ht="14.5" hidden="1" x14ac:dyDescent="0.35">
      <c r="B663" s="43">
        <v>16</v>
      </c>
      <c r="C663" s="41" t="s">
        <v>80</v>
      </c>
      <c r="D663" s="27"/>
      <c r="E663" s="27"/>
      <c r="F663" s="65">
        <f t="shared" si="34"/>
        <v>0</v>
      </c>
      <c r="G663" s="85">
        <f t="shared" si="35"/>
        <v>745996.2</v>
      </c>
      <c r="H663" s="100"/>
      <c r="I663" s="60"/>
      <c r="J663" s="60"/>
    </row>
    <row r="664" spans="2:10" s="3" customFormat="1" ht="14.5" hidden="1" x14ac:dyDescent="0.35">
      <c r="B664" s="43">
        <v>17</v>
      </c>
      <c r="C664" s="41" t="s">
        <v>81</v>
      </c>
      <c r="D664" s="27"/>
      <c r="E664" s="27"/>
      <c r="F664" s="65">
        <f t="shared" si="34"/>
        <v>0</v>
      </c>
      <c r="G664" s="85">
        <f t="shared" si="35"/>
        <v>745996.2</v>
      </c>
      <c r="H664" s="100"/>
      <c r="I664" s="60"/>
      <c r="J664" s="60"/>
    </row>
    <row r="665" spans="2:10" s="3" customFormat="1" ht="14.5" hidden="1" x14ac:dyDescent="0.35">
      <c r="B665" s="43">
        <v>18</v>
      </c>
      <c r="C665" s="41" t="s">
        <v>82</v>
      </c>
      <c r="D665" s="27"/>
      <c r="E665" s="27"/>
      <c r="F665" s="65">
        <f t="shared" si="34"/>
        <v>0</v>
      </c>
      <c r="G665" s="85">
        <f t="shared" si="35"/>
        <v>745996.2</v>
      </c>
      <c r="H665" s="100"/>
      <c r="I665" s="60"/>
      <c r="J665" s="60"/>
    </row>
    <row r="666" spans="2:10" s="3" customFormat="1" ht="14.5" hidden="1" x14ac:dyDescent="0.35">
      <c r="B666" s="43">
        <v>19</v>
      </c>
      <c r="C666" s="41" t="s">
        <v>83</v>
      </c>
      <c r="D666" s="27"/>
      <c r="E666" s="27"/>
      <c r="F666" s="65">
        <f t="shared" si="34"/>
        <v>0</v>
      </c>
      <c r="G666" s="85">
        <f t="shared" si="35"/>
        <v>745996.2</v>
      </c>
      <c r="H666" s="100"/>
      <c r="I666" s="60"/>
      <c r="J666" s="60"/>
    </row>
    <row r="667" spans="2:10" s="3" customFormat="1" ht="14.5" hidden="1" x14ac:dyDescent="0.35">
      <c r="B667" s="43">
        <v>20</v>
      </c>
      <c r="C667" s="41" t="s">
        <v>84</v>
      </c>
      <c r="D667" s="27"/>
      <c r="E667" s="27"/>
      <c r="F667" s="65">
        <f t="shared" si="34"/>
        <v>0</v>
      </c>
      <c r="G667" s="85">
        <f t="shared" si="35"/>
        <v>745996.2</v>
      </c>
      <c r="H667" s="100"/>
      <c r="I667" s="60"/>
      <c r="J667" s="60"/>
    </row>
    <row r="668" spans="2:10" s="3" customFormat="1" ht="14.5" hidden="1" x14ac:dyDescent="0.35">
      <c r="B668" s="43">
        <v>21</v>
      </c>
      <c r="C668" s="41" t="s">
        <v>85</v>
      </c>
      <c r="D668" s="27"/>
      <c r="E668" s="27"/>
      <c r="F668" s="65">
        <f t="shared" si="34"/>
        <v>0</v>
      </c>
      <c r="G668" s="85">
        <f t="shared" si="35"/>
        <v>745996.2</v>
      </c>
      <c r="H668" s="100"/>
      <c r="I668" s="60"/>
      <c r="J668" s="60"/>
    </row>
    <row r="669" spans="2:10" s="3" customFormat="1" ht="14.5" hidden="1" x14ac:dyDescent="0.35">
      <c r="B669" s="43">
        <v>22</v>
      </c>
      <c r="C669" s="41" t="s">
        <v>86</v>
      </c>
      <c r="D669" s="27"/>
      <c r="E669" s="27"/>
      <c r="F669" s="65">
        <f t="shared" si="34"/>
        <v>0</v>
      </c>
      <c r="G669" s="85">
        <f t="shared" si="35"/>
        <v>745996.2</v>
      </c>
      <c r="H669" s="100"/>
      <c r="I669" s="60"/>
      <c r="J669" s="60"/>
    </row>
    <row r="670" spans="2:10" s="3" customFormat="1" ht="14.5" hidden="1" x14ac:dyDescent="0.35">
      <c r="B670" s="43">
        <v>23</v>
      </c>
      <c r="C670" s="41" t="s">
        <v>87</v>
      </c>
      <c r="D670" s="27"/>
      <c r="E670" s="27"/>
      <c r="F670" s="65">
        <f t="shared" si="34"/>
        <v>0</v>
      </c>
      <c r="G670" s="85">
        <f t="shared" si="35"/>
        <v>745996.2</v>
      </c>
      <c r="H670" s="100"/>
      <c r="I670" s="60"/>
      <c r="J670" s="60"/>
    </row>
    <row r="671" spans="2:10" s="3" customFormat="1" ht="14.5" hidden="1" x14ac:dyDescent="0.35">
      <c r="B671" s="43">
        <v>24</v>
      </c>
      <c r="C671" s="41" t="s">
        <v>88</v>
      </c>
      <c r="D671" s="27"/>
      <c r="E671" s="27"/>
      <c r="F671" s="65">
        <f t="shared" si="34"/>
        <v>0</v>
      </c>
      <c r="G671" s="85">
        <f t="shared" si="35"/>
        <v>745996.2</v>
      </c>
      <c r="H671" s="100"/>
      <c r="I671" s="60"/>
      <c r="J671" s="60"/>
    </row>
    <row r="672" spans="2:10" s="3" customFormat="1" ht="14.5" hidden="1" x14ac:dyDescent="0.35">
      <c r="B672" s="43">
        <v>25</v>
      </c>
      <c r="C672" s="105" t="s">
        <v>89</v>
      </c>
      <c r="D672" s="27"/>
      <c r="E672" s="27"/>
      <c r="F672" s="65">
        <f t="shared" si="34"/>
        <v>0</v>
      </c>
      <c r="G672" s="85">
        <f t="shared" si="35"/>
        <v>745996.2</v>
      </c>
      <c r="H672" s="100"/>
      <c r="I672" s="60"/>
      <c r="J672" s="60"/>
    </row>
    <row r="673" spans="1:10" s="3" customFormat="1" ht="14.5" hidden="1" x14ac:dyDescent="0.35">
      <c r="B673" s="43">
        <v>26</v>
      </c>
      <c r="C673" s="105" t="s">
        <v>90</v>
      </c>
      <c r="D673" s="34"/>
      <c r="E673" s="34"/>
      <c r="F673" s="94">
        <f t="shared" si="34"/>
        <v>0</v>
      </c>
      <c r="G673" s="106">
        <f t="shared" si="35"/>
        <v>745996.2</v>
      </c>
      <c r="H673" s="100"/>
      <c r="I673" s="60"/>
      <c r="J673" s="60"/>
    </row>
    <row r="674" spans="1:10" ht="14.5" x14ac:dyDescent="0.35">
      <c r="A674" s="3"/>
      <c r="B674" s="5" t="s">
        <v>63</v>
      </c>
      <c r="C674" s="47" t="s">
        <v>63</v>
      </c>
      <c r="D674" s="86" t="s">
        <v>63</v>
      </c>
      <c r="E674" s="86" t="s">
        <v>63</v>
      </c>
      <c r="F674" s="86" t="s">
        <v>63</v>
      </c>
      <c r="G674" s="86" t="s">
        <v>63</v>
      </c>
      <c r="H674" s="6" t="s">
        <v>63</v>
      </c>
      <c r="I674" s="3"/>
    </row>
    <row r="675" spans="1:10" ht="14.5" x14ac:dyDescent="0.35">
      <c r="A675" s="3"/>
      <c r="B675" s="8" t="s">
        <v>44</v>
      </c>
      <c r="C675" s="58"/>
      <c r="D675" s="86" t="s">
        <v>63</v>
      </c>
      <c r="E675" s="86" t="s">
        <v>63</v>
      </c>
      <c r="F675" s="86" t="s">
        <v>63</v>
      </c>
      <c r="G675" s="86" t="s">
        <v>63</v>
      </c>
      <c r="H675" s="6" t="s">
        <v>63</v>
      </c>
      <c r="I675" s="3"/>
    </row>
    <row r="676" spans="1:10" ht="14.5" x14ac:dyDescent="0.35">
      <c r="A676" s="3"/>
      <c r="B676" s="9" t="s">
        <v>45</v>
      </c>
      <c r="C676" s="5"/>
      <c r="D676" s="6"/>
      <c r="E676" s="6"/>
      <c r="F676" s="87"/>
      <c r="G676" s="87"/>
      <c r="H676" s="101"/>
      <c r="I676" s="3"/>
    </row>
    <row r="677" spans="1:10" ht="14.5" x14ac:dyDescent="0.35">
      <c r="A677" s="3"/>
      <c r="B677" s="9" t="s">
        <v>46</v>
      </c>
      <c r="C677" s="5"/>
      <c r="D677" s="6"/>
      <c r="E677" s="6"/>
      <c r="F677" s="87"/>
      <c r="G677" s="86" t="s">
        <v>63</v>
      </c>
      <c r="H677" s="6" t="s">
        <v>63</v>
      </c>
      <c r="I677" s="3"/>
    </row>
    <row r="678" spans="1:10" ht="14.5" x14ac:dyDescent="0.35">
      <c r="A678" s="3"/>
      <c r="B678" s="9" t="s">
        <v>47</v>
      </c>
      <c r="C678" s="5"/>
      <c r="D678" s="6"/>
      <c r="E678" s="6"/>
      <c r="F678" s="86" t="s">
        <v>63</v>
      </c>
      <c r="G678" s="86" t="s">
        <v>63</v>
      </c>
      <c r="H678" s="6" t="s">
        <v>63</v>
      </c>
      <c r="I678" s="3"/>
    </row>
    <row r="679" spans="1:10" ht="14.5" x14ac:dyDescent="0.35">
      <c r="A679" s="3"/>
      <c r="B679" s="10"/>
      <c r="C679" s="48"/>
      <c r="D679" s="88"/>
      <c r="E679" s="88"/>
      <c r="F679" s="88"/>
      <c r="G679" s="88"/>
      <c r="H679" s="60"/>
      <c r="I679" s="3"/>
    </row>
    <row r="680" spans="1:10" ht="14.5" x14ac:dyDescent="0.35">
      <c r="A680" s="3"/>
      <c r="B680" s="10"/>
      <c r="C680" s="48"/>
      <c r="D680" s="88"/>
      <c r="E680" s="88"/>
      <c r="F680" s="88"/>
      <c r="G680" s="88"/>
      <c r="H680" s="60"/>
      <c r="I680" s="3"/>
    </row>
    <row r="681" spans="1:10" ht="18.5" x14ac:dyDescent="0.45">
      <c r="A681" s="3"/>
      <c r="C681" s="48"/>
      <c r="D681" s="179" t="s">
        <v>51</v>
      </c>
      <c r="E681" s="179"/>
      <c r="F681" s="179"/>
      <c r="G681" s="179"/>
      <c r="H681" s="179"/>
      <c r="I681" s="3"/>
    </row>
    <row r="682" spans="1:10" ht="16" x14ac:dyDescent="0.4">
      <c r="A682" s="38"/>
      <c r="B682" s="28" t="s">
        <v>63</v>
      </c>
      <c r="C682" s="59" t="s">
        <v>63</v>
      </c>
      <c r="D682" s="180" t="s">
        <v>72</v>
      </c>
      <c r="E682" s="180"/>
      <c r="F682" s="180"/>
      <c r="G682" s="180"/>
      <c r="H682" s="180"/>
      <c r="I682" s="38"/>
    </row>
    <row r="683" spans="1:10" ht="15.9" customHeight="1" x14ac:dyDescent="0.4">
      <c r="A683" s="3"/>
      <c r="B683" s="124" t="s">
        <v>73</v>
      </c>
      <c r="C683" s="124"/>
      <c r="D683" s="124"/>
      <c r="E683" s="124"/>
      <c r="F683" s="124"/>
      <c r="G683" s="124"/>
      <c r="H683" s="124"/>
      <c r="I683" s="3"/>
    </row>
    <row r="684" spans="1:10" ht="14.5" x14ac:dyDescent="0.35">
      <c r="A684" s="3"/>
      <c r="B684" s="15"/>
      <c r="C684" s="16"/>
      <c r="D684" s="114" t="s">
        <v>7</v>
      </c>
      <c r="E684" s="115"/>
      <c r="F684" s="115"/>
      <c r="G684" s="176"/>
      <c r="H684" s="177" t="s">
        <v>63</v>
      </c>
      <c r="I684" s="3"/>
    </row>
    <row r="685" spans="1:10" ht="14.5" x14ac:dyDescent="0.35">
      <c r="A685" s="3"/>
      <c r="B685" s="13"/>
      <c r="C685" s="14"/>
      <c r="D685" s="121" t="s">
        <v>10</v>
      </c>
      <c r="E685" s="122"/>
      <c r="F685" s="122"/>
      <c r="G685" s="178"/>
      <c r="H685" s="177"/>
      <c r="I685" s="3"/>
    </row>
    <row r="686" spans="1:10" ht="14.5" x14ac:dyDescent="0.35">
      <c r="A686" s="3"/>
      <c r="B686" s="128" t="s">
        <v>11</v>
      </c>
      <c r="C686" s="130" t="s">
        <v>12</v>
      </c>
      <c r="D686" s="80" t="s">
        <v>13</v>
      </c>
      <c r="E686" s="80" t="s">
        <v>14</v>
      </c>
      <c r="F686" s="80" t="s">
        <v>15</v>
      </c>
      <c r="G686" s="81" t="s">
        <v>16</v>
      </c>
      <c r="H686" s="172" t="s">
        <v>63</v>
      </c>
      <c r="I686" s="3"/>
    </row>
    <row r="687" spans="1:10" ht="14.5" x14ac:dyDescent="0.35">
      <c r="A687" s="3"/>
      <c r="B687" s="129"/>
      <c r="C687" s="131"/>
      <c r="D687" s="141" t="s">
        <v>21</v>
      </c>
      <c r="E687" s="142"/>
      <c r="F687" s="142"/>
      <c r="G687" s="173"/>
      <c r="H687" s="172"/>
      <c r="I687" s="3"/>
    </row>
    <row r="688" spans="1:10" ht="14.5" x14ac:dyDescent="0.35">
      <c r="A688" s="3"/>
      <c r="B688" s="43">
        <v>4</v>
      </c>
      <c r="C688" s="56" t="s">
        <v>22</v>
      </c>
      <c r="D688" s="27">
        <v>0</v>
      </c>
      <c r="E688" s="27">
        <v>0</v>
      </c>
      <c r="F688" s="27">
        <v>0</v>
      </c>
      <c r="G688" s="27">
        <v>0</v>
      </c>
      <c r="H688" s="100" t="s">
        <v>63</v>
      </c>
      <c r="I688" s="3"/>
    </row>
    <row r="689" spans="1:11" ht="14.5" x14ac:dyDescent="0.35">
      <c r="A689" s="3"/>
      <c r="B689" s="50">
        <v>5</v>
      </c>
      <c r="C689" s="57" t="s">
        <v>23</v>
      </c>
      <c r="D689" s="27">
        <v>0</v>
      </c>
      <c r="E689" s="27">
        <v>0</v>
      </c>
      <c r="F689" s="27">
        <v>0</v>
      </c>
      <c r="G689" s="27">
        <v>0</v>
      </c>
      <c r="H689" s="100" t="s">
        <v>63</v>
      </c>
      <c r="I689" s="3"/>
    </row>
    <row r="690" spans="1:11" ht="14.5" x14ac:dyDescent="0.35">
      <c r="A690" s="3"/>
      <c r="B690" s="50">
        <v>6</v>
      </c>
      <c r="C690" s="57" t="s">
        <v>24</v>
      </c>
      <c r="D690" s="27">
        <v>0</v>
      </c>
      <c r="E690" s="27">
        <v>0</v>
      </c>
      <c r="F690" s="27">
        <v>0</v>
      </c>
      <c r="G690" s="27">
        <v>0</v>
      </c>
      <c r="H690" s="100" t="s">
        <v>63</v>
      </c>
      <c r="I690" s="3"/>
    </row>
    <row r="691" spans="1:11" ht="14.5" x14ac:dyDescent="0.35">
      <c r="A691" s="3"/>
      <c r="B691" s="50">
        <v>7</v>
      </c>
      <c r="C691" s="57" t="s">
        <v>25</v>
      </c>
      <c r="D691" s="27">
        <v>0</v>
      </c>
      <c r="E691" s="27">
        <v>0</v>
      </c>
      <c r="F691" s="27">
        <v>0</v>
      </c>
      <c r="G691" s="27">
        <v>0</v>
      </c>
      <c r="H691" s="100" t="s">
        <v>63</v>
      </c>
      <c r="I691" s="3"/>
    </row>
    <row r="692" spans="1:11" ht="14.5" x14ac:dyDescent="0.35">
      <c r="A692" s="3"/>
      <c r="B692" s="43">
        <v>8</v>
      </c>
      <c r="C692" s="41" t="s">
        <v>26</v>
      </c>
      <c r="D692" s="27">
        <v>0</v>
      </c>
      <c r="E692" s="27">
        <v>0</v>
      </c>
      <c r="F692" s="65">
        <f t="shared" ref="F692:F710" si="36">+E692+D692</f>
        <v>0</v>
      </c>
      <c r="G692" s="85">
        <f t="shared" ref="G692:G710" si="37">+G691+F692</f>
        <v>0</v>
      </c>
      <c r="H692" s="100"/>
      <c r="I692" s="10"/>
      <c r="J692" s="3"/>
      <c r="K692" s="3"/>
    </row>
    <row r="693" spans="1:11" s="3" customFormat="1" ht="14.5" x14ac:dyDescent="0.35">
      <c r="B693" s="43">
        <v>9</v>
      </c>
      <c r="C693" s="41" t="s">
        <v>27</v>
      </c>
      <c r="D693" s="27">
        <v>0</v>
      </c>
      <c r="E693" s="27">
        <v>0</v>
      </c>
      <c r="F693" s="65">
        <f t="shared" si="36"/>
        <v>0</v>
      </c>
      <c r="G693" s="85">
        <f t="shared" si="37"/>
        <v>0</v>
      </c>
      <c r="H693" s="100"/>
      <c r="I693" s="60"/>
      <c r="J693" s="60"/>
    </row>
    <row r="694" spans="1:11" s="3" customFormat="1" ht="14.5" hidden="1" x14ac:dyDescent="0.35">
      <c r="B694" s="43">
        <v>10</v>
      </c>
      <c r="C694" s="41" t="s">
        <v>74</v>
      </c>
      <c r="D694" s="27"/>
      <c r="E694" s="27"/>
      <c r="F694" s="65">
        <f t="shared" si="36"/>
        <v>0</v>
      </c>
      <c r="G694" s="85">
        <f t="shared" si="37"/>
        <v>0</v>
      </c>
      <c r="H694" s="100"/>
      <c r="I694" s="60"/>
      <c r="J694" s="60"/>
    </row>
    <row r="695" spans="1:11" s="3" customFormat="1" ht="14.5" hidden="1" x14ac:dyDescent="0.35">
      <c r="B695" s="43">
        <v>11</v>
      </c>
      <c r="C695" s="41" t="s">
        <v>75</v>
      </c>
      <c r="D695" s="27"/>
      <c r="E695" s="27"/>
      <c r="F695" s="65">
        <f t="shared" si="36"/>
        <v>0</v>
      </c>
      <c r="G695" s="85">
        <f t="shared" si="37"/>
        <v>0</v>
      </c>
      <c r="H695" s="100"/>
      <c r="I695" s="60"/>
      <c r="J695" s="60"/>
    </row>
    <row r="696" spans="1:11" s="3" customFormat="1" ht="14.5" hidden="1" x14ac:dyDescent="0.35">
      <c r="B696" s="43">
        <v>12</v>
      </c>
      <c r="C696" s="41" t="s">
        <v>76</v>
      </c>
      <c r="D696" s="27"/>
      <c r="E696" s="27"/>
      <c r="F696" s="65">
        <f t="shared" si="36"/>
        <v>0</v>
      </c>
      <c r="G696" s="85">
        <f t="shared" si="37"/>
        <v>0</v>
      </c>
      <c r="H696" s="100"/>
      <c r="I696" s="60"/>
      <c r="J696" s="60"/>
    </row>
    <row r="697" spans="1:11" s="3" customFormat="1" ht="14.5" hidden="1" x14ac:dyDescent="0.35">
      <c r="B697" s="43">
        <v>13</v>
      </c>
      <c r="C697" s="41" t="s">
        <v>77</v>
      </c>
      <c r="D697" s="27"/>
      <c r="E697" s="27"/>
      <c r="F697" s="65">
        <f t="shared" si="36"/>
        <v>0</v>
      </c>
      <c r="G697" s="85">
        <f t="shared" si="37"/>
        <v>0</v>
      </c>
      <c r="H697" s="100"/>
      <c r="I697" s="60"/>
      <c r="J697" s="60"/>
    </row>
    <row r="698" spans="1:11" s="3" customFormat="1" ht="14.5" hidden="1" x14ac:dyDescent="0.35">
      <c r="B698" s="43">
        <v>14</v>
      </c>
      <c r="C698" s="104" t="s">
        <v>78</v>
      </c>
      <c r="D698" s="27"/>
      <c r="E698" s="27"/>
      <c r="F698" s="65">
        <f t="shared" si="36"/>
        <v>0</v>
      </c>
      <c r="G698" s="85">
        <f t="shared" si="37"/>
        <v>0</v>
      </c>
      <c r="H698" s="100"/>
      <c r="I698" s="60"/>
      <c r="J698" s="60"/>
    </row>
    <row r="699" spans="1:11" s="3" customFormat="1" ht="14.5" hidden="1" x14ac:dyDescent="0.35">
      <c r="B699" s="43">
        <v>15</v>
      </c>
      <c r="C699" s="41" t="s">
        <v>79</v>
      </c>
      <c r="D699" s="27"/>
      <c r="E699" s="27"/>
      <c r="F699" s="65">
        <f t="shared" si="36"/>
        <v>0</v>
      </c>
      <c r="G699" s="85">
        <f t="shared" si="37"/>
        <v>0</v>
      </c>
      <c r="H699" s="100"/>
      <c r="I699" s="60"/>
      <c r="J699" s="60"/>
    </row>
    <row r="700" spans="1:11" s="3" customFormat="1" ht="14.5" hidden="1" x14ac:dyDescent="0.35">
      <c r="B700" s="43">
        <v>16</v>
      </c>
      <c r="C700" s="41" t="s">
        <v>80</v>
      </c>
      <c r="D700" s="27"/>
      <c r="E700" s="27"/>
      <c r="F700" s="65">
        <f t="shared" si="36"/>
        <v>0</v>
      </c>
      <c r="G700" s="85">
        <f t="shared" si="37"/>
        <v>0</v>
      </c>
      <c r="H700" s="100"/>
      <c r="I700" s="60"/>
      <c r="J700" s="60"/>
    </row>
    <row r="701" spans="1:11" s="3" customFormat="1" ht="14.5" hidden="1" x14ac:dyDescent="0.35">
      <c r="B701" s="43">
        <v>17</v>
      </c>
      <c r="C701" s="41" t="s">
        <v>81</v>
      </c>
      <c r="D701" s="27"/>
      <c r="E701" s="27"/>
      <c r="F701" s="65">
        <f t="shared" si="36"/>
        <v>0</v>
      </c>
      <c r="G701" s="85">
        <f t="shared" si="37"/>
        <v>0</v>
      </c>
      <c r="H701" s="100"/>
      <c r="I701" s="60"/>
      <c r="J701" s="60"/>
    </row>
    <row r="702" spans="1:11" s="3" customFormat="1" ht="14.5" hidden="1" x14ac:dyDescent="0.35">
      <c r="B702" s="43">
        <v>18</v>
      </c>
      <c r="C702" s="41" t="s">
        <v>82</v>
      </c>
      <c r="D702" s="27"/>
      <c r="E702" s="27"/>
      <c r="F702" s="65">
        <f t="shared" si="36"/>
        <v>0</v>
      </c>
      <c r="G702" s="85">
        <f t="shared" si="37"/>
        <v>0</v>
      </c>
      <c r="H702" s="100"/>
      <c r="I702" s="60"/>
      <c r="J702" s="60"/>
    </row>
    <row r="703" spans="1:11" s="3" customFormat="1" ht="14.5" hidden="1" x14ac:dyDescent="0.35">
      <c r="B703" s="43">
        <v>19</v>
      </c>
      <c r="C703" s="41" t="s">
        <v>83</v>
      </c>
      <c r="D703" s="27"/>
      <c r="E703" s="27"/>
      <c r="F703" s="65">
        <f t="shared" si="36"/>
        <v>0</v>
      </c>
      <c r="G703" s="85">
        <f t="shared" si="37"/>
        <v>0</v>
      </c>
      <c r="H703" s="100"/>
      <c r="I703" s="60"/>
      <c r="J703" s="60"/>
    </row>
    <row r="704" spans="1:11" s="3" customFormat="1" ht="14.5" hidden="1" x14ac:dyDescent="0.35">
      <c r="B704" s="43">
        <v>20</v>
      </c>
      <c r="C704" s="41" t="s">
        <v>84</v>
      </c>
      <c r="D704" s="27"/>
      <c r="E704" s="27"/>
      <c r="F704" s="65">
        <f t="shared" si="36"/>
        <v>0</v>
      </c>
      <c r="G704" s="85">
        <f t="shared" si="37"/>
        <v>0</v>
      </c>
      <c r="H704" s="100"/>
      <c r="I704" s="60"/>
      <c r="J704" s="60"/>
    </row>
    <row r="705" spans="1:10" s="3" customFormat="1" ht="14.5" hidden="1" x14ac:dyDescent="0.35">
      <c r="B705" s="43">
        <v>21</v>
      </c>
      <c r="C705" s="41" t="s">
        <v>85</v>
      </c>
      <c r="D705" s="27"/>
      <c r="E705" s="27"/>
      <c r="F705" s="65">
        <f t="shared" si="36"/>
        <v>0</v>
      </c>
      <c r="G705" s="85">
        <f t="shared" si="37"/>
        <v>0</v>
      </c>
      <c r="H705" s="100"/>
      <c r="I705" s="60"/>
      <c r="J705" s="60"/>
    </row>
    <row r="706" spans="1:10" s="3" customFormat="1" ht="14.5" hidden="1" x14ac:dyDescent="0.35">
      <c r="B706" s="43">
        <v>22</v>
      </c>
      <c r="C706" s="41" t="s">
        <v>86</v>
      </c>
      <c r="D706" s="27"/>
      <c r="E706" s="27"/>
      <c r="F706" s="65">
        <f t="shared" si="36"/>
        <v>0</v>
      </c>
      <c r="G706" s="85">
        <f t="shared" si="37"/>
        <v>0</v>
      </c>
      <c r="H706" s="100"/>
      <c r="I706" s="60"/>
      <c r="J706" s="60"/>
    </row>
    <row r="707" spans="1:10" s="3" customFormat="1" ht="14.5" hidden="1" x14ac:dyDescent="0.35">
      <c r="B707" s="43">
        <v>23</v>
      </c>
      <c r="C707" s="41" t="s">
        <v>87</v>
      </c>
      <c r="D707" s="27"/>
      <c r="E707" s="27"/>
      <c r="F707" s="65">
        <f t="shared" si="36"/>
        <v>0</v>
      </c>
      <c r="G707" s="85">
        <f t="shared" si="37"/>
        <v>0</v>
      </c>
      <c r="H707" s="100"/>
      <c r="I707" s="60"/>
      <c r="J707" s="60"/>
    </row>
    <row r="708" spans="1:10" s="3" customFormat="1" ht="14.5" hidden="1" x14ac:dyDescent="0.35">
      <c r="B708" s="43">
        <v>24</v>
      </c>
      <c r="C708" s="41" t="s">
        <v>88</v>
      </c>
      <c r="D708" s="27"/>
      <c r="E708" s="27"/>
      <c r="F708" s="65">
        <f t="shared" si="36"/>
        <v>0</v>
      </c>
      <c r="G708" s="85">
        <f t="shared" si="37"/>
        <v>0</v>
      </c>
      <c r="H708" s="100"/>
      <c r="I708" s="60"/>
      <c r="J708" s="60"/>
    </row>
    <row r="709" spans="1:10" s="3" customFormat="1" ht="14.5" hidden="1" x14ac:dyDescent="0.35">
      <c r="B709" s="43">
        <v>25</v>
      </c>
      <c r="C709" s="105" t="s">
        <v>89</v>
      </c>
      <c r="D709" s="27"/>
      <c r="E709" s="27"/>
      <c r="F709" s="65">
        <f t="shared" si="36"/>
        <v>0</v>
      </c>
      <c r="G709" s="85">
        <f t="shared" si="37"/>
        <v>0</v>
      </c>
      <c r="H709" s="100"/>
      <c r="I709" s="60"/>
      <c r="J709" s="60"/>
    </row>
    <row r="710" spans="1:10" s="3" customFormat="1" ht="14.5" hidden="1" x14ac:dyDescent="0.35">
      <c r="B710" s="43">
        <v>26</v>
      </c>
      <c r="C710" s="105" t="s">
        <v>90</v>
      </c>
      <c r="D710" s="34"/>
      <c r="E710" s="34"/>
      <c r="F710" s="94">
        <f t="shared" si="36"/>
        <v>0</v>
      </c>
      <c r="G710" s="106">
        <f t="shared" si="37"/>
        <v>0</v>
      </c>
      <c r="H710" s="100"/>
      <c r="I710" s="60"/>
      <c r="J710" s="60"/>
    </row>
    <row r="711" spans="1:10" ht="13.5" customHeight="1" x14ac:dyDescent="0.35">
      <c r="A711" s="3"/>
      <c r="B711" s="5" t="s">
        <v>63</v>
      </c>
      <c r="C711" s="47" t="s">
        <v>63</v>
      </c>
      <c r="D711" s="86" t="s">
        <v>63</v>
      </c>
      <c r="E711" s="86" t="s">
        <v>63</v>
      </c>
      <c r="F711" s="86" t="s">
        <v>63</v>
      </c>
      <c r="G711" s="86" t="s">
        <v>63</v>
      </c>
      <c r="H711" s="6" t="s">
        <v>63</v>
      </c>
      <c r="I711" s="3"/>
    </row>
    <row r="712" spans="1:10" ht="14.5" x14ac:dyDescent="0.35">
      <c r="A712" s="3"/>
      <c r="B712" s="8" t="s">
        <v>44</v>
      </c>
      <c r="C712" s="58"/>
      <c r="D712" s="86" t="s">
        <v>63</v>
      </c>
      <c r="E712" s="86" t="s">
        <v>63</v>
      </c>
      <c r="F712" s="86" t="s">
        <v>63</v>
      </c>
      <c r="G712" s="86" t="s">
        <v>63</v>
      </c>
      <c r="H712" s="6" t="s">
        <v>63</v>
      </c>
      <c r="I712" s="3"/>
    </row>
    <row r="713" spans="1:10" ht="14.5" x14ac:dyDescent="0.35">
      <c r="A713" s="3"/>
      <c r="B713" s="9" t="s">
        <v>45</v>
      </c>
      <c r="C713" s="5"/>
      <c r="D713" s="6"/>
      <c r="E713" s="6"/>
      <c r="F713" s="87"/>
      <c r="G713" s="87"/>
      <c r="H713" s="101"/>
      <c r="I713" s="3"/>
    </row>
    <row r="714" spans="1:10" ht="14.5" x14ac:dyDescent="0.35">
      <c r="A714" s="3"/>
      <c r="B714" s="9" t="s">
        <v>46</v>
      </c>
      <c r="C714" s="5"/>
      <c r="D714" s="6"/>
      <c r="E714" s="6"/>
      <c r="F714" s="87"/>
      <c r="G714" s="86" t="s">
        <v>63</v>
      </c>
      <c r="H714" s="6" t="s">
        <v>63</v>
      </c>
      <c r="I714" s="3"/>
    </row>
    <row r="715" spans="1:10" ht="14.5" x14ac:dyDescent="0.35">
      <c r="A715" s="3"/>
      <c r="B715" s="9" t="s">
        <v>47</v>
      </c>
      <c r="C715" s="5"/>
      <c r="D715" s="6"/>
      <c r="E715" s="6"/>
      <c r="F715" s="86" t="s">
        <v>63</v>
      </c>
      <c r="G715" s="86" t="s">
        <v>63</v>
      </c>
      <c r="H715" s="6" t="s">
        <v>63</v>
      </c>
      <c r="I715" s="3"/>
    </row>
    <row r="716" spans="1:10" ht="14.5" x14ac:dyDescent="0.35">
      <c r="A716" s="3"/>
      <c r="B716" s="3"/>
      <c r="C716" s="46"/>
      <c r="D716" s="79"/>
      <c r="E716" s="79"/>
      <c r="F716" s="79"/>
      <c r="G716" s="79"/>
      <c r="H716" s="42"/>
      <c r="I716" s="3"/>
    </row>
    <row r="717" spans="1:10" ht="14.5" x14ac:dyDescent="0.35">
      <c r="A717" s="3"/>
      <c r="B717" s="3"/>
      <c r="C717" s="46"/>
      <c r="D717" s="79"/>
      <c r="E717" s="79"/>
      <c r="F717" s="79"/>
      <c r="G717" s="79"/>
      <c r="H717" s="42"/>
      <c r="I717" s="3"/>
    </row>
    <row r="718" spans="1:10" ht="18.5" x14ac:dyDescent="0.45">
      <c r="A718" s="3"/>
      <c r="C718" s="48"/>
      <c r="D718" s="174" t="s">
        <v>52</v>
      </c>
      <c r="E718" s="174"/>
      <c r="F718" s="174"/>
      <c r="G718" s="174"/>
      <c r="H718" s="174"/>
      <c r="I718" s="3"/>
    </row>
    <row r="719" spans="1:10" ht="16" x14ac:dyDescent="0.4">
      <c r="A719" s="38"/>
      <c r="B719" s="28" t="s">
        <v>63</v>
      </c>
      <c r="C719" s="59" t="s">
        <v>63</v>
      </c>
      <c r="D719" s="175" t="s">
        <v>72</v>
      </c>
      <c r="E719" s="175"/>
      <c r="F719" s="175"/>
      <c r="G719" s="175"/>
      <c r="H719" s="175"/>
      <c r="I719" s="38"/>
    </row>
    <row r="720" spans="1:10" ht="15.9" customHeight="1" x14ac:dyDescent="0.4">
      <c r="A720" s="3"/>
      <c r="B720" s="124" t="s">
        <v>73</v>
      </c>
      <c r="C720" s="124"/>
      <c r="D720" s="124"/>
      <c r="E720" s="124"/>
      <c r="F720" s="124"/>
      <c r="G720" s="124"/>
      <c r="H720" s="124"/>
      <c r="I720" s="3"/>
    </row>
    <row r="721" spans="1:11" ht="14.5" x14ac:dyDescent="0.35">
      <c r="A721" s="3"/>
      <c r="B721" s="15"/>
      <c r="C721" s="16"/>
      <c r="D721" s="114" t="s">
        <v>7</v>
      </c>
      <c r="E721" s="115"/>
      <c r="F721" s="115"/>
      <c r="G721" s="176"/>
      <c r="H721" s="177" t="s">
        <v>63</v>
      </c>
      <c r="I721" s="3"/>
    </row>
    <row r="722" spans="1:11" ht="14.5" x14ac:dyDescent="0.35">
      <c r="A722" s="3"/>
      <c r="B722" s="13"/>
      <c r="C722" s="14"/>
      <c r="D722" s="121" t="s">
        <v>10</v>
      </c>
      <c r="E722" s="122"/>
      <c r="F722" s="122"/>
      <c r="G722" s="178"/>
      <c r="H722" s="177"/>
      <c r="I722" s="3"/>
    </row>
    <row r="723" spans="1:11" ht="14.5" x14ac:dyDescent="0.35">
      <c r="A723" s="3"/>
      <c r="B723" s="128" t="s">
        <v>11</v>
      </c>
      <c r="C723" s="130" t="s">
        <v>12</v>
      </c>
      <c r="D723" s="80" t="s">
        <v>13</v>
      </c>
      <c r="E723" s="80" t="s">
        <v>14</v>
      </c>
      <c r="F723" s="80" t="s">
        <v>15</v>
      </c>
      <c r="G723" s="81" t="s">
        <v>16</v>
      </c>
      <c r="H723" s="172" t="s">
        <v>63</v>
      </c>
      <c r="I723" s="3"/>
    </row>
    <row r="724" spans="1:11" ht="14.5" x14ac:dyDescent="0.35">
      <c r="A724" s="3"/>
      <c r="B724" s="129"/>
      <c r="C724" s="131"/>
      <c r="D724" s="141" t="s">
        <v>21</v>
      </c>
      <c r="E724" s="142"/>
      <c r="F724" s="142"/>
      <c r="G724" s="173"/>
      <c r="H724" s="172"/>
      <c r="I724" s="3"/>
    </row>
    <row r="725" spans="1:11" ht="14.5" x14ac:dyDescent="0.35">
      <c r="A725" s="3"/>
      <c r="B725" s="43">
        <v>4</v>
      </c>
      <c r="C725" s="56" t="s">
        <v>22</v>
      </c>
      <c r="D725" s="27">
        <v>0</v>
      </c>
      <c r="E725" s="27">
        <v>0</v>
      </c>
      <c r="F725" s="27">
        <v>0</v>
      </c>
      <c r="G725" s="27">
        <v>0</v>
      </c>
      <c r="H725" s="100" t="s">
        <v>63</v>
      </c>
      <c r="I725" s="3"/>
    </row>
    <row r="726" spans="1:11" ht="14.5" x14ac:dyDescent="0.35">
      <c r="A726" s="3"/>
      <c r="B726" s="50">
        <v>5</v>
      </c>
      <c r="C726" s="57" t="s">
        <v>23</v>
      </c>
      <c r="D726" s="82">
        <v>22804.03</v>
      </c>
      <c r="E726" s="27">
        <v>0</v>
      </c>
      <c r="F726" s="83">
        <f>+E726+D726</f>
        <v>22804.03</v>
      </c>
      <c r="G726" s="84">
        <f>+F726</f>
        <v>22804.03</v>
      </c>
      <c r="H726" s="100" t="s">
        <v>63</v>
      </c>
      <c r="I726" s="3"/>
    </row>
    <row r="727" spans="1:11" ht="14.5" x14ac:dyDescent="0.35">
      <c r="A727" s="3"/>
      <c r="B727" s="50">
        <v>6</v>
      </c>
      <c r="C727" s="57" t="s">
        <v>24</v>
      </c>
      <c r="D727" s="82">
        <v>14028.02</v>
      </c>
      <c r="E727" s="27">
        <v>0</v>
      </c>
      <c r="F727" s="83">
        <f>+E727+D727</f>
        <v>14028.02</v>
      </c>
      <c r="G727" s="84">
        <f>+G726+F727</f>
        <v>36832.050000000003</v>
      </c>
      <c r="H727" s="100" t="s">
        <v>63</v>
      </c>
      <c r="I727" s="3"/>
    </row>
    <row r="728" spans="1:11" ht="14.5" x14ac:dyDescent="0.35">
      <c r="A728" s="3"/>
      <c r="B728" s="50">
        <v>7</v>
      </c>
      <c r="C728" s="57" t="s">
        <v>25</v>
      </c>
      <c r="D728" s="82">
        <v>29519.08</v>
      </c>
      <c r="E728" s="27">
        <v>0</v>
      </c>
      <c r="F728" s="83">
        <f>+E728+D728</f>
        <v>29519.08</v>
      </c>
      <c r="G728" s="84">
        <f>+G727+F728</f>
        <v>66351.13</v>
      </c>
      <c r="H728" s="100" t="s">
        <v>63</v>
      </c>
      <c r="I728" s="3"/>
    </row>
    <row r="729" spans="1:11" ht="14.5" x14ac:dyDescent="0.35">
      <c r="A729" s="3"/>
      <c r="B729" s="43">
        <v>8</v>
      </c>
      <c r="C729" s="41" t="s">
        <v>26</v>
      </c>
      <c r="D729" s="27">
        <v>24107</v>
      </c>
      <c r="E729" s="27">
        <v>0</v>
      </c>
      <c r="F729" s="83">
        <f>+E729+D729</f>
        <v>24107</v>
      </c>
      <c r="G729" s="85">
        <f>+G728+F729</f>
        <v>90458.13</v>
      </c>
      <c r="H729" s="100"/>
      <c r="I729" s="10"/>
      <c r="J729" s="3"/>
      <c r="K729" s="3"/>
    </row>
    <row r="730" spans="1:11" s="3" customFormat="1" ht="14.5" x14ac:dyDescent="0.35">
      <c r="B730" s="43">
        <v>9</v>
      </c>
      <c r="C730" s="41" t="s">
        <v>27</v>
      </c>
      <c r="D730" s="27">
        <v>2162.5100000000002</v>
      </c>
      <c r="E730" s="27">
        <v>0</v>
      </c>
      <c r="F730" s="65">
        <f t="shared" ref="F730:F747" si="38">+E730+D730</f>
        <v>2162.5100000000002</v>
      </c>
      <c r="G730" s="85">
        <f t="shared" ref="G730:G747" si="39">+G729+F730</f>
        <v>92620.64</v>
      </c>
      <c r="H730" s="100"/>
      <c r="I730" s="60"/>
      <c r="J730" s="60"/>
    </row>
    <row r="731" spans="1:11" s="3" customFormat="1" ht="14.5" hidden="1" x14ac:dyDescent="0.35">
      <c r="B731" s="43">
        <v>10</v>
      </c>
      <c r="C731" s="41" t="s">
        <v>74</v>
      </c>
      <c r="D731" s="27"/>
      <c r="E731" s="27"/>
      <c r="F731" s="65">
        <f t="shared" si="38"/>
        <v>0</v>
      </c>
      <c r="G731" s="85">
        <f t="shared" si="39"/>
        <v>92620.64</v>
      </c>
      <c r="H731" s="100"/>
      <c r="I731" s="60"/>
      <c r="J731" s="60"/>
    </row>
    <row r="732" spans="1:11" s="3" customFormat="1" ht="14.5" hidden="1" x14ac:dyDescent="0.35">
      <c r="B732" s="43">
        <v>11</v>
      </c>
      <c r="C732" s="41" t="s">
        <v>75</v>
      </c>
      <c r="D732" s="27"/>
      <c r="E732" s="27"/>
      <c r="F732" s="65">
        <f t="shared" si="38"/>
        <v>0</v>
      </c>
      <c r="G732" s="85">
        <f t="shared" si="39"/>
        <v>92620.64</v>
      </c>
      <c r="H732" s="100"/>
      <c r="I732" s="60"/>
      <c r="J732" s="60"/>
    </row>
    <row r="733" spans="1:11" s="3" customFormat="1" ht="14.5" hidden="1" x14ac:dyDescent="0.35">
      <c r="B733" s="43">
        <v>12</v>
      </c>
      <c r="C733" s="41" t="s">
        <v>76</v>
      </c>
      <c r="D733" s="27"/>
      <c r="E733" s="27"/>
      <c r="F733" s="65">
        <f t="shared" si="38"/>
        <v>0</v>
      </c>
      <c r="G733" s="85">
        <f t="shared" si="39"/>
        <v>92620.64</v>
      </c>
      <c r="H733" s="100"/>
      <c r="I733" s="60"/>
      <c r="J733" s="60"/>
    </row>
    <row r="734" spans="1:11" s="3" customFormat="1" ht="14.5" hidden="1" x14ac:dyDescent="0.35">
      <c r="B734" s="43">
        <v>13</v>
      </c>
      <c r="C734" s="41" t="s">
        <v>77</v>
      </c>
      <c r="D734" s="27"/>
      <c r="E734" s="27"/>
      <c r="F734" s="65">
        <f t="shared" si="38"/>
        <v>0</v>
      </c>
      <c r="G734" s="85">
        <f t="shared" si="39"/>
        <v>92620.64</v>
      </c>
      <c r="H734" s="100"/>
      <c r="I734" s="60"/>
      <c r="J734" s="60"/>
    </row>
    <row r="735" spans="1:11" s="3" customFormat="1" ht="14.5" hidden="1" x14ac:dyDescent="0.35">
      <c r="B735" s="43">
        <v>14</v>
      </c>
      <c r="C735" s="104" t="s">
        <v>78</v>
      </c>
      <c r="D735" s="27"/>
      <c r="E735" s="27"/>
      <c r="F735" s="65">
        <f t="shared" si="38"/>
        <v>0</v>
      </c>
      <c r="G735" s="85">
        <f t="shared" si="39"/>
        <v>92620.64</v>
      </c>
      <c r="H735" s="100"/>
      <c r="I735" s="60"/>
      <c r="J735" s="60"/>
    </row>
    <row r="736" spans="1:11" s="3" customFormat="1" ht="14.5" hidden="1" x14ac:dyDescent="0.35">
      <c r="B736" s="43">
        <v>15</v>
      </c>
      <c r="C736" s="41" t="s">
        <v>79</v>
      </c>
      <c r="D736" s="27"/>
      <c r="E736" s="27"/>
      <c r="F736" s="65">
        <f t="shared" si="38"/>
        <v>0</v>
      </c>
      <c r="G736" s="85">
        <f t="shared" si="39"/>
        <v>92620.64</v>
      </c>
      <c r="H736" s="100"/>
      <c r="I736" s="60"/>
      <c r="J736" s="60"/>
    </row>
    <row r="737" spans="1:10" s="3" customFormat="1" ht="14.5" hidden="1" x14ac:dyDescent="0.35">
      <c r="B737" s="43">
        <v>16</v>
      </c>
      <c r="C737" s="41" t="s">
        <v>80</v>
      </c>
      <c r="D737" s="27"/>
      <c r="E737" s="27"/>
      <c r="F737" s="65">
        <f t="shared" si="38"/>
        <v>0</v>
      </c>
      <c r="G737" s="85">
        <f t="shared" si="39"/>
        <v>92620.64</v>
      </c>
      <c r="H737" s="100"/>
      <c r="I737" s="60"/>
      <c r="J737" s="60"/>
    </row>
    <row r="738" spans="1:10" s="3" customFormat="1" ht="14.5" hidden="1" x14ac:dyDescent="0.35">
      <c r="B738" s="43">
        <v>17</v>
      </c>
      <c r="C738" s="41" t="s">
        <v>81</v>
      </c>
      <c r="D738" s="27"/>
      <c r="E738" s="27"/>
      <c r="F738" s="65">
        <f t="shared" si="38"/>
        <v>0</v>
      </c>
      <c r="G738" s="85">
        <f t="shared" si="39"/>
        <v>92620.64</v>
      </c>
      <c r="H738" s="100"/>
      <c r="I738" s="60"/>
      <c r="J738" s="60"/>
    </row>
    <row r="739" spans="1:10" s="3" customFormat="1" ht="14.5" hidden="1" x14ac:dyDescent="0.35">
      <c r="B739" s="43">
        <v>18</v>
      </c>
      <c r="C739" s="41" t="s">
        <v>82</v>
      </c>
      <c r="D739" s="27"/>
      <c r="E739" s="27"/>
      <c r="F739" s="65">
        <f t="shared" si="38"/>
        <v>0</v>
      </c>
      <c r="G739" s="85">
        <f t="shared" si="39"/>
        <v>92620.64</v>
      </c>
      <c r="H739" s="100"/>
      <c r="I739" s="60"/>
      <c r="J739" s="60"/>
    </row>
    <row r="740" spans="1:10" s="3" customFormat="1" ht="14.5" hidden="1" x14ac:dyDescent="0.35">
      <c r="B740" s="43">
        <v>19</v>
      </c>
      <c r="C740" s="41" t="s">
        <v>83</v>
      </c>
      <c r="D740" s="27"/>
      <c r="E740" s="27"/>
      <c r="F740" s="65">
        <f t="shared" si="38"/>
        <v>0</v>
      </c>
      <c r="G740" s="85">
        <f t="shared" si="39"/>
        <v>92620.64</v>
      </c>
      <c r="H740" s="100"/>
      <c r="I740" s="60"/>
      <c r="J740" s="60"/>
    </row>
    <row r="741" spans="1:10" s="3" customFormat="1" ht="14.5" hidden="1" x14ac:dyDescent="0.35">
      <c r="B741" s="43">
        <v>20</v>
      </c>
      <c r="C741" s="41" t="s">
        <v>84</v>
      </c>
      <c r="D741" s="27"/>
      <c r="E741" s="27"/>
      <c r="F741" s="65">
        <f t="shared" si="38"/>
        <v>0</v>
      </c>
      <c r="G741" s="85">
        <f t="shared" si="39"/>
        <v>92620.64</v>
      </c>
      <c r="H741" s="100"/>
      <c r="I741" s="60"/>
      <c r="J741" s="60"/>
    </row>
    <row r="742" spans="1:10" s="3" customFormat="1" ht="14.5" hidden="1" x14ac:dyDescent="0.35">
      <c r="B742" s="43">
        <v>21</v>
      </c>
      <c r="C742" s="41" t="s">
        <v>85</v>
      </c>
      <c r="D742" s="27"/>
      <c r="E742" s="27"/>
      <c r="F742" s="65">
        <f t="shared" si="38"/>
        <v>0</v>
      </c>
      <c r="G742" s="85">
        <f t="shared" si="39"/>
        <v>92620.64</v>
      </c>
      <c r="H742" s="100"/>
      <c r="I742" s="60"/>
      <c r="J742" s="60"/>
    </row>
    <row r="743" spans="1:10" s="3" customFormat="1" ht="14.5" hidden="1" x14ac:dyDescent="0.35">
      <c r="B743" s="43">
        <v>22</v>
      </c>
      <c r="C743" s="41" t="s">
        <v>86</v>
      </c>
      <c r="D743" s="27"/>
      <c r="E743" s="27"/>
      <c r="F743" s="65">
        <f t="shared" si="38"/>
        <v>0</v>
      </c>
      <c r="G743" s="85">
        <f t="shared" si="39"/>
        <v>92620.64</v>
      </c>
      <c r="H743" s="100"/>
      <c r="I743" s="60"/>
      <c r="J743" s="60"/>
    </row>
    <row r="744" spans="1:10" s="3" customFormat="1" ht="14.5" hidden="1" x14ac:dyDescent="0.35">
      <c r="B744" s="43">
        <v>23</v>
      </c>
      <c r="C744" s="41" t="s">
        <v>87</v>
      </c>
      <c r="D744" s="27"/>
      <c r="E744" s="27"/>
      <c r="F744" s="65">
        <f t="shared" si="38"/>
        <v>0</v>
      </c>
      <c r="G744" s="85">
        <f t="shared" si="39"/>
        <v>92620.64</v>
      </c>
      <c r="H744" s="100"/>
      <c r="I744" s="60"/>
      <c r="J744" s="60"/>
    </row>
    <row r="745" spans="1:10" s="3" customFormat="1" ht="14.5" hidden="1" x14ac:dyDescent="0.35">
      <c r="B745" s="43">
        <v>24</v>
      </c>
      <c r="C745" s="41" t="s">
        <v>88</v>
      </c>
      <c r="D745" s="27"/>
      <c r="E745" s="27"/>
      <c r="F745" s="65">
        <f t="shared" si="38"/>
        <v>0</v>
      </c>
      <c r="G745" s="85">
        <f t="shared" si="39"/>
        <v>92620.64</v>
      </c>
      <c r="H745" s="100"/>
      <c r="I745" s="60"/>
      <c r="J745" s="60"/>
    </row>
    <row r="746" spans="1:10" s="3" customFormat="1" ht="14.5" hidden="1" x14ac:dyDescent="0.35">
      <c r="B746" s="43">
        <v>25</v>
      </c>
      <c r="C746" s="105" t="s">
        <v>89</v>
      </c>
      <c r="D746" s="27"/>
      <c r="E746" s="27"/>
      <c r="F746" s="65">
        <f t="shared" si="38"/>
        <v>0</v>
      </c>
      <c r="G746" s="85">
        <f t="shared" si="39"/>
        <v>92620.64</v>
      </c>
      <c r="H746" s="100"/>
      <c r="I746" s="60"/>
      <c r="J746" s="60"/>
    </row>
    <row r="747" spans="1:10" s="3" customFormat="1" ht="14.5" hidden="1" x14ac:dyDescent="0.35">
      <c r="B747" s="43">
        <v>26</v>
      </c>
      <c r="C747" s="105" t="s">
        <v>90</v>
      </c>
      <c r="D747" s="34"/>
      <c r="E747" s="34"/>
      <c r="F747" s="94">
        <f t="shared" si="38"/>
        <v>0</v>
      </c>
      <c r="G747" s="106">
        <f t="shared" si="39"/>
        <v>92620.64</v>
      </c>
      <c r="H747" s="100"/>
      <c r="I747" s="60"/>
      <c r="J747" s="60"/>
    </row>
    <row r="748" spans="1:10" s="3" customFormat="1" ht="14.5" x14ac:dyDescent="0.35">
      <c r="B748" s="107"/>
      <c r="C748" s="108"/>
      <c r="D748" s="60"/>
      <c r="E748" s="60"/>
      <c r="F748" s="93"/>
      <c r="G748" s="60"/>
      <c r="H748" s="100"/>
      <c r="I748" s="60"/>
      <c r="J748" s="60"/>
    </row>
    <row r="749" spans="1:10" ht="14.5" x14ac:dyDescent="0.35">
      <c r="A749" s="3"/>
      <c r="B749" s="8" t="s">
        <v>44</v>
      </c>
      <c r="C749" s="58"/>
      <c r="D749" s="86" t="s">
        <v>63</v>
      </c>
      <c r="E749" s="86" t="s">
        <v>63</v>
      </c>
      <c r="F749" s="86" t="s">
        <v>63</v>
      </c>
      <c r="G749" s="86" t="s">
        <v>63</v>
      </c>
      <c r="H749" s="6" t="s">
        <v>63</v>
      </c>
      <c r="I749" s="3"/>
    </row>
    <row r="750" spans="1:10" ht="14.5" x14ac:dyDescent="0.35">
      <c r="A750" s="3"/>
      <c r="B750" s="9" t="s">
        <v>45</v>
      </c>
      <c r="C750" s="5"/>
      <c r="D750" s="6"/>
      <c r="E750" s="6"/>
      <c r="F750" s="87"/>
      <c r="G750" s="87"/>
      <c r="H750" s="101"/>
      <c r="I750" s="3"/>
    </row>
    <row r="751" spans="1:10" ht="14.5" x14ac:dyDescent="0.35">
      <c r="A751" s="3"/>
      <c r="B751" s="9" t="s">
        <v>46</v>
      </c>
      <c r="C751" s="5"/>
      <c r="D751" s="6"/>
      <c r="E751" s="6"/>
      <c r="F751" s="87"/>
      <c r="G751" s="86" t="s">
        <v>63</v>
      </c>
      <c r="H751" s="6" t="s">
        <v>63</v>
      </c>
      <c r="I751" s="3"/>
    </row>
    <row r="752" spans="1:10" ht="14.5" x14ac:dyDescent="0.35">
      <c r="A752" s="3"/>
      <c r="B752" s="9" t="s">
        <v>47</v>
      </c>
      <c r="C752" s="5"/>
      <c r="D752" s="6"/>
      <c r="E752" s="6"/>
      <c r="F752" s="86" t="s">
        <v>63</v>
      </c>
      <c r="G752" s="86" t="s">
        <v>63</v>
      </c>
      <c r="H752" s="6" t="s">
        <v>63</v>
      </c>
      <c r="I752" s="3"/>
    </row>
  </sheetData>
  <mergeCells count="195">
    <mergeCell ref="D42:H42"/>
    <mergeCell ref="D43:H43"/>
    <mergeCell ref="B44:H44"/>
    <mergeCell ref="D45:G45"/>
    <mergeCell ref="H45:H46"/>
    <mergeCell ref="D46:G46"/>
    <mergeCell ref="D6:H6"/>
    <mergeCell ref="B7:H7"/>
    <mergeCell ref="D8:G8"/>
    <mergeCell ref="H8:H9"/>
    <mergeCell ref="D9:G9"/>
    <mergeCell ref="B10:B11"/>
    <mergeCell ref="C10:C11"/>
    <mergeCell ref="H10:H11"/>
    <mergeCell ref="D11:G11"/>
    <mergeCell ref="B81:H81"/>
    <mergeCell ref="D82:G82"/>
    <mergeCell ref="H82:H83"/>
    <mergeCell ref="D83:G83"/>
    <mergeCell ref="B84:B85"/>
    <mergeCell ref="C84:C85"/>
    <mergeCell ref="H84:H85"/>
    <mergeCell ref="D85:G85"/>
    <mergeCell ref="B47:B48"/>
    <mergeCell ref="C47:C48"/>
    <mergeCell ref="H47:H48"/>
    <mergeCell ref="D48:G48"/>
    <mergeCell ref="D79:H79"/>
    <mergeCell ref="D80:H80"/>
    <mergeCell ref="B121:B122"/>
    <mergeCell ref="C121:C122"/>
    <mergeCell ref="H121:H122"/>
    <mergeCell ref="D122:G122"/>
    <mergeCell ref="D156:H156"/>
    <mergeCell ref="B157:H157"/>
    <mergeCell ref="D116:H116"/>
    <mergeCell ref="D117:H117"/>
    <mergeCell ref="B118:H118"/>
    <mergeCell ref="D119:G119"/>
    <mergeCell ref="H119:H120"/>
    <mergeCell ref="D120:G120"/>
    <mergeCell ref="D192:H192"/>
    <mergeCell ref="D193:H193"/>
    <mergeCell ref="B194:H194"/>
    <mergeCell ref="D195:G195"/>
    <mergeCell ref="H195:H196"/>
    <mergeCell ref="D196:G196"/>
    <mergeCell ref="D158:G158"/>
    <mergeCell ref="H158:H159"/>
    <mergeCell ref="D159:G159"/>
    <mergeCell ref="B160:B161"/>
    <mergeCell ref="C160:C161"/>
    <mergeCell ref="H160:H161"/>
    <mergeCell ref="D161:G161"/>
    <mergeCell ref="B231:H231"/>
    <mergeCell ref="D232:G232"/>
    <mergeCell ref="H232:H233"/>
    <mergeCell ref="D233:G233"/>
    <mergeCell ref="B234:B235"/>
    <mergeCell ref="C234:C235"/>
    <mergeCell ref="H234:H235"/>
    <mergeCell ref="D235:G235"/>
    <mergeCell ref="B197:B198"/>
    <mergeCell ref="C197:C198"/>
    <mergeCell ref="H197:H198"/>
    <mergeCell ref="D198:G198"/>
    <mergeCell ref="D229:H229"/>
    <mergeCell ref="D230:H230"/>
    <mergeCell ref="B271:B272"/>
    <mergeCell ref="C271:C272"/>
    <mergeCell ref="H271:H272"/>
    <mergeCell ref="D272:G272"/>
    <mergeCell ref="D306:H306"/>
    <mergeCell ref="B307:H307"/>
    <mergeCell ref="D266:H266"/>
    <mergeCell ref="D267:H267"/>
    <mergeCell ref="B268:H268"/>
    <mergeCell ref="D269:G269"/>
    <mergeCell ref="H269:H270"/>
    <mergeCell ref="D270:G270"/>
    <mergeCell ref="D342:H342"/>
    <mergeCell ref="D343:H343"/>
    <mergeCell ref="B344:H344"/>
    <mergeCell ref="D345:G345"/>
    <mergeCell ref="H345:H346"/>
    <mergeCell ref="D346:G346"/>
    <mergeCell ref="D308:G308"/>
    <mergeCell ref="H308:H309"/>
    <mergeCell ref="D309:G309"/>
    <mergeCell ref="B310:B311"/>
    <mergeCell ref="C310:C311"/>
    <mergeCell ref="H310:H311"/>
    <mergeCell ref="D311:G311"/>
    <mergeCell ref="B381:H381"/>
    <mergeCell ref="D382:G382"/>
    <mergeCell ref="H382:H383"/>
    <mergeCell ref="D383:G383"/>
    <mergeCell ref="B384:B385"/>
    <mergeCell ref="C384:C385"/>
    <mergeCell ref="H384:H385"/>
    <mergeCell ref="D385:G385"/>
    <mergeCell ref="B347:B348"/>
    <mergeCell ref="C347:C348"/>
    <mergeCell ref="H347:H348"/>
    <mergeCell ref="D348:G348"/>
    <mergeCell ref="D379:H379"/>
    <mergeCell ref="D380:H380"/>
    <mergeCell ref="B421:B422"/>
    <mergeCell ref="C421:C422"/>
    <mergeCell ref="H421:H422"/>
    <mergeCell ref="D422:G422"/>
    <mergeCell ref="D457:H457"/>
    <mergeCell ref="B458:H458"/>
    <mergeCell ref="D416:H416"/>
    <mergeCell ref="D417:H417"/>
    <mergeCell ref="B418:H418"/>
    <mergeCell ref="D419:G419"/>
    <mergeCell ref="H419:H420"/>
    <mergeCell ref="D420:G420"/>
    <mergeCell ref="D493:H493"/>
    <mergeCell ref="D494:H494"/>
    <mergeCell ref="B495:H495"/>
    <mergeCell ref="D496:G496"/>
    <mergeCell ref="H496:H497"/>
    <mergeCell ref="D497:G497"/>
    <mergeCell ref="D459:G459"/>
    <mergeCell ref="H459:H460"/>
    <mergeCell ref="D460:G460"/>
    <mergeCell ref="B461:B462"/>
    <mergeCell ref="C461:C462"/>
    <mergeCell ref="H461:H462"/>
    <mergeCell ref="D462:G462"/>
    <mergeCell ref="B532:H532"/>
    <mergeCell ref="D533:G533"/>
    <mergeCell ref="H533:H534"/>
    <mergeCell ref="D534:G534"/>
    <mergeCell ref="B535:B536"/>
    <mergeCell ref="C535:C536"/>
    <mergeCell ref="H535:H536"/>
    <mergeCell ref="D536:G536"/>
    <mergeCell ref="B498:B499"/>
    <mergeCell ref="C498:C499"/>
    <mergeCell ref="H498:H499"/>
    <mergeCell ref="D499:G499"/>
    <mergeCell ref="D530:H530"/>
    <mergeCell ref="D531:H531"/>
    <mergeCell ref="B572:B573"/>
    <mergeCell ref="C572:C573"/>
    <mergeCell ref="H572:H573"/>
    <mergeCell ref="D573:G573"/>
    <mergeCell ref="D608:H608"/>
    <mergeCell ref="B609:H609"/>
    <mergeCell ref="D567:H567"/>
    <mergeCell ref="D568:H568"/>
    <mergeCell ref="B569:H569"/>
    <mergeCell ref="D570:G570"/>
    <mergeCell ref="H570:H571"/>
    <mergeCell ref="D571:G571"/>
    <mergeCell ref="D644:H644"/>
    <mergeCell ref="D645:H645"/>
    <mergeCell ref="B646:H646"/>
    <mergeCell ref="D647:G647"/>
    <mergeCell ref="H647:H648"/>
    <mergeCell ref="D648:G648"/>
    <mergeCell ref="D610:G610"/>
    <mergeCell ref="H610:H611"/>
    <mergeCell ref="D611:G611"/>
    <mergeCell ref="B612:B613"/>
    <mergeCell ref="C612:C613"/>
    <mergeCell ref="H612:H613"/>
    <mergeCell ref="D613:G613"/>
    <mergeCell ref="B683:H683"/>
    <mergeCell ref="D684:G684"/>
    <mergeCell ref="H684:H685"/>
    <mergeCell ref="D685:G685"/>
    <mergeCell ref="B686:B687"/>
    <mergeCell ref="C686:C687"/>
    <mergeCell ref="H686:H687"/>
    <mergeCell ref="D687:G687"/>
    <mergeCell ref="B649:B650"/>
    <mergeCell ref="C649:C650"/>
    <mergeCell ref="H649:H650"/>
    <mergeCell ref="D650:G650"/>
    <mergeCell ref="D681:H681"/>
    <mergeCell ref="D682:H682"/>
    <mergeCell ref="B723:B724"/>
    <mergeCell ref="C723:C724"/>
    <mergeCell ref="H723:H724"/>
    <mergeCell ref="D724:G724"/>
    <mergeCell ref="D718:H718"/>
    <mergeCell ref="D719:H719"/>
    <mergeCell ref="B720:H720"/>
    <mergeCell ref="D721:G721"/>
    <mergeCell ref="H721:H722"/>
    <mergeCell ref="D722:G7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Y146"/>
  <sheetViews>
    <sheetView tabSelected="1" zoomScale="73" zoomScaleNormal="80" workbookViewId="0">
      <selection sqref="A1:R36"/>
    </sheetView>
  </sheetViews>
  <sheetFormatPr defaultColWidth="9" defaultRowHeight="14.5" x14ac:dyDescent="0.35"/>
  <cols>
    <col min="1" max="1" width="2" style="3" customWidth="1"/>
    <col min="2" max="2" width="6.09765625" style="3" customWidth="1"/>
    <col min="3" max="3" width="25.59765625" style="3" customWidth="1"/>
    <col min="4" max="4" width="18.59765625" style="42" customWidth="1"/>
    <col min="5" max="5" width="13" style="42" customWidth="1"/>
    <col min="6" max="6" width="14.8984375" style="42" customWidth="1"/>
    <col min="7" max="7" width="14.59765625" style="42" customWidth="1"/>
    <col min="8" max="9" width="13" style="42" customWidth="1"/>
    <col min="10" max="10" width="9" style="42"/>
    <col min="11" max="12" width="13" style="42" customWidth="1"/>
    <col min="13" max="13" width="21.8984375" style="3" customWidth="1"/>
    <col min="14" max="16" width="15.3984375" style="3" bestFit="1" customWidth="1"/>
    <col min="17" max="24" width="9" style="3"/>
    <col min="25" max="25" width="15.3984375" style="3" bestFit="1" customWidth="1"/>
    <col min="26" max="16384" width="9" style="3"/>
  </cols>
  <sheetData>
    <row r="3" spans="2:25" ht="48" customHeight="1" x14ac:dyDescent="0.4">
      <c r="B3" s="28"/>
      <c r="C3" s="28"/>
      <c r="D3" s="110" t="s">
        <v>5</v>
      </c>
      <c r="E3" s="111"/>
      <c r="F3" s="111"/>
      <c r="G3" s="111"/>
      <c r="H3" s="111"/>
      <c r="I3" s="111"/>
      <c r="J3" s="91"/>
      <c r="K3" s="91"/>
      <c r="L3" s="91"/>
      <c r="M3" s="1"/>
    </row>
    <row r="4" spans="2:25" ht="16" x14ac:dyDescent="0.4">
      <c r="B4" s="124" t="s">
        <v>6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"/>
    </row>
    <row r="5" spans="2:25" x14ac:dyDescent="0.35">
      <c r="B5" s="15"/>
      <c r="C5" s="16"/>
      <c r="D5" s="114" t="s">
        <v>7</v>
      </c>
      <c r="E5" s="115"/>
      <c r="F5" s="115"/>
      <c r="G5" s="116"/>
      <c r="H5" s="117" t="s">
        <v>8</v>
      </c>
      <c r="I5" s="118"/>
      <c r="J5" s="92"/>
      <c r="K5" s="117" t="s">
        <v>9</v>
      </c>
      <c r="L5" s="118"/>
      <c r="M5" s="1"/>
    </row>
    <row r="6" spans="2:25" x14ac:dyDescent="0.35">
      <c r="B6" s="13"/>
      <c r="C6" s="14"/>
      <c r="D6" s="121" t="s">
        <v>10</v>
      </c>
      <c r="E6" s="122"/>
      <c r="F6" s="122"/>
      <c r="G6" s="123"/>
      <c r="H6" s="119"/>
      <c r="I6" s="120"/>
      <c r="J6" s="92"/>
      <c r="K6" s="119"/>
      <c r="L6" s="120"/>
      <c r="M6" s="1"/>
    </row>
    <row r="7" spans="2:25" ht="18.899999999999999" customHeight="1" x14ac:dyDescent="0.35">
      <c r="B7" s="128" t="s">
        <v>11</v>
      </c>
      <c r="C7" s="130" t="s">
        <v>12</v>
      </c>
      <c r="D7" s="80" t="s">
        <v>13</v>
      </c>
      <c r="E7" s="80" t="s">
        <v>14</v>
      </c>
      <c r="F7" s="80" t="s">
        <v>15</v>
      </c>
      <c r="G7" s="80" t="s">
        <v>16</v>
      </c>
      <c r="H7" s="132" t="s">
        <v>17</v>
      </c>
      <c r="I7" s="134" t="s">
        <v>18</v>
      </c>
      <c r="J7" s="93"/>
      <c r="K7" s="132" t="s">
        <v>19</v>
      </c>
      <c r="L7" s="134" t="s">
        <v>20</v>
      </c>
      <c r="M7" s="1"/>
    </row>
    <row r="8" spans="2:25" ht="36" customHeight="1" x14ac:dyDescent="0.35">
      <c r="B8" s="129"/>
      <c r="C8" s="131"/>
      <c r="D8" s="125" t="s">
        <v>21</v>
      </c>
      <c r="E8" s="126"/>
      <c r="F8" s="126"/>
      <c r="G8" s="127"/>
      <c r="H8" s="133"/>
      <c r="I8" s="135"/>
      <c r="J8" s="93"/>
      <c r="K8" s="133"/>
      <c r="L8" s="135"/>
      <c r="M8" s="1"/>
    </row>
    <row r="9" spans="2:25" x14ac:dyDescent="0.35">
      <c r="B9" s="43">
        <v>4</v>
      </c>
      <c r="C9" s="41" t="s">
        <v>22</v>
      </c>
      <c r="D9" s="22">
        <v>1795192.45</v>
      </c>
      <c r="E9" s="22">
        <v>0</v>
      </c>
      <c r="F9" s="61">
        <f>+D9+E9</f>
        <v>1795192.45</v>
      </c>
      <c r="G9" s="22">
        <f>+F9</f>
        <v>1795192.45</v>
      </c>
      <c r="H9" s="62">
        <f t="shared" ref="H9:H14" si="0">((G9-I9)/I9)*100</f>
        <v>155.94298999897705</v>
      </c>
      <c r="I9" s="22">
        <v>701403.25</v>
      </c>
      <c r="J9" s="63"/>
      <c r="K9" s="64">
        <f t="shared" ref="K9:K14" si="1">((G9-L9)/L9)*100</f>
        <v>-36.09110682508981</v>
      </c>
      <c r="L9" s="24">
        <f>+(701403.25+2705521.5+5020036.01)/3</f>
        <v>2808986.92</v>
      </c>
      <c r="M9" s="1"/>
      <c r="Y9" s="40"/>
    </row>
    <row r="10" spans="2:25" x14ac:dyDescent="0.35">
      <c r="B10" s="43">
        <v>5</v>
      </c>
      <c r="C10" s="41" t="s">
        <v>23</v>
      </c>
      <c r="D10" s="27">
        <v>6433422.9199999999</v>
      </c>
      <c r="E10" s="27">
        <v>0</v>
      </c>
      <c r="F10" s="65">
        <f>+E10+D10</f>
        <v>6433422.9199999999</v>
      </c>
      <c r="G10" s="27">
        <f>+G9+F10</f>
        <v>8228615.3700000001</v>
      </c>
      <c r="H10" s="66">
        <f t="shared" si="0"/>
        <v>42.070335862514163</v>
      </c>
      <c r="I10" s="27">
        <f>701403.25+5090527.43</f>
        <v>5791930.6799999997</v>
      </c>
      <c r="J10" s="63"/>
      <c r="K10" s="66">
        <f t="shared" si="1"/>
        <v>-8.394561661671462</v>
      </c>
      <c r="L10" s="27">
        <f>+(701403.25+2705521.5+5020036.01+5090527.43+6060755.3+7369770.25)/3</f>
        <v>8982671.2466666661</v>
      </c>
      <c r="M10" s="1"/>
    </row>
    <row r="11" spans="2:25" x14ac:dyDescent="0.35">
      <c r="B11" s="43">
        <v>6</v>
      </c>
      <c r="C11" s="41" t="s">
        <v>24</v>
      </c>
      <c r="D11" s="27">
        <v>9568155.3900000006</v>
      </c>
      <c r="E11" s="27">
        <v>0</v>
      </c>
      <c r="F11" s="65">
        <f>+E11+D11</f>
        <v>9568155.3900000006</v>
      </c>
      <c r="G11" s="27">
        <f t="shared" ref="G11:G30" si="2">+G10+F11</f>
        <v>17796770.760000002</v>
      </c>
      <c r="H11" s="66">
        <f t="shared" si="0"/>
        <v>71.120999985967458</v>
      </c>
      <c r="I11" s="27">
        <f>+I10+4608178.46</f>
        <v>10400109.140000001</v>
      </c>
      <c r="J11" s="63"/>
      <c r="K11" s="66">
        <f t="shared" si="1"/>
        <v>21.915601960924654</v>
      </c>
      <c r="L11" s="27">
        <v>14597615.460000001</v>
      </c>
      <c r="M11" s="53"/>
      <c r="O11" s="40"/>
      <c r="P11" s="40"/>
    </row>
    <row r="12" spans="2:25" x14ac:dyDescent="0.35">
      <c r="B12" s="43">
        <v>7</v>
      </c>
      <c r="C12" s="41" t="s">
        <v>25</v>
      </c>
      <c r="D12" s="27">
        <v>4340829.42</v>
      </c>
      <c r="E12" s="27">
        <f>+Thompsons!E12+Flame!E12+'SA Sultana'!E12+'OR Sultana'!E12+Goldens!E12+Currants!E12+Other!E12</f>
        <v>4861144</v>
      </c>
      <c r="F12" s="65">
        <f t="shared" ref="F12:F30" si="3">+E12+D12</f>
        <v>9201973.4199999999</v>
      </c>
      <c r="G12" s="27">
        <f>+G11+F12</f>
        <v>26998744.18</v>
      </c>
      <c r="H12" s="66">
        <f t="shared" si="0"/>
        <v>52.153390722566151</v>
      </c>
      <c r="I12" s="27">
        <f>+I11+7344315.78</f>
        <v>17744424.920000002</v>
      </c>
      <c r="J12" s="63"/>
      <c r="K12" s="66">
        <f t="shared" si="1"/>
        <v>21.738671963785709</v>
      </c>
      <c r="L12" s="27">
        <f>66532870.15/3</f>
        <v>22177623.383333333</v>
      </c>
      <c r="M12" s="53"/>
      <c r="N12" s="42"/>
    </row>
    <row r="13" spans="2:25" x14ac:dyDescent="0.35">
      <c r="B13" s="43">
        <v>8</v>
      </c>
      <c r="C13" s="41" t="s">
        <v>26</v>
      </c>
      <c r="D13" s="27">
        <v>8409847.0700000003</v>
      </c>
      <c r="E13" s="27">
        <v>0</v>
      </c>
      <c r="F13" s="65">
        <f t="shared" si="3"/>
        <v>8409847.0700000003</v>
      </c>
      <c r="G13" s="27">
        <f t="shared" ref="G13:G14" si="4">+G12+F13</f>
        <v>35408591.25</v>
      </c>
      <c r="H13" s="66">
        <f t="shared" si="0"/>
        <v>32.938579511486765</v>
      </c>
      <c r="I13" s="27">
        <v>26635301.34</v>
      </c>
      <c r="J13" s="63"/>
      <c r="K13" s="66">
        <f t="shared" si="1"/>
        <v>14.048078642294223</v>
      </c>
      <c r="L13" s="27">
        <f>93141221.68/3</f>
        <v>31047073.893333334</v>
      </c>
      <c r="M13" s="1"/>
    </row>
    <row r="14" spans="2:25" x14ac:dyDescent="0.35">
      <c r="B14" s="43">
        <v>9</v>
      </c>
      <c r="C14" s="41" t="s">
        <v>27</v>
      </c>
      <c r="D14" s="27">
        <v>6650673.9299999997</v>
      </c>
      <c r="E14" s="27">
        <v>0</v>
      </c>
      <c r="F14" s="65">
        <f t="shared" si="3"/>
        <v>6650673.9299999997</v>
      </c>
      <c r="G14" s="67">
        <f t="shared" si="4"/>
        <v>42059265.18</v>
      </c>
      <c r="H14" s="66">
        <f t="shared" si="0"/>
        <v>18.765085294794883</v>
      </c>
      <c r="I14" s="27">
        <v>35413829.810000002</v>
      </c>
      <c r="J14" s="63"/>
      <c r="K14" s="66">
        <f t="shared" si="1"/>
        <v>2.8597307542412906</v>
      </c>
      <c r="L14" s="27">
        <f>122669770.39/3</f>
        <v>40889923.463333331</v>
      </c>
      <c r="M14" s="1"/>
    </row>
    <row r="15" spans="2:25" hidden="1" x14ac:dyDescent="0.35">
      <c r="B15" s="11">
        <v>11</v>
      </c>
      <c r="C15" s="17" t="s">
        <v>28</v>
      </c>
      <c r="D15" s="27"/>
      <c r="E15" s="27"/>
      <c r="F15" s="65">
        <f t="shared" si="3"/>
        <v>0</v>
      </c>
      <c r="G15" s="27">
        <f t="shared" si="2"/>
        <v>42059265.18</v>
      </c>
      <c r="H15" s="66">
        <v>0</v>
      </c>
      <c r="I15" s="27">
        <v>0</v>
      </c>
      <c r="J15" s="63"/>
      <c r="K15" s="66">
        <v>0</v>
      </c>
      <c r="L15" s="27">
        <v>0</v>
      </c>
      <c r="M15" s="1"/>
    </row>
    <row r="16" spans="2:25" hidden="1" x14ac:dyDescent="0.35">
      <c r="B16" s="11">
        <v>12</v>
      </c>
      <c r="C16" s="17" t="s">
        <v>29</v>
      </c>
      <c r="D16" s="27"/>
      <c r="E16" s="27"/>
      <c r="F16" s="65">
        <f t="shared" si="3"/>
        <v>0</v>
      </c>
      <c r="G16" s="27">
        <f t="shared" si="2"/>
        <v>42059265.18</v>
      </c>
      <c r="H16" s="66">
        <v>0</v>
      </c>
      <c r="I16" s="27">
        <v>0</v>
      </c>
      <c r="J16" s="63"/>
      <c r="K16" s="66">
        <v>0</v>
      </c>
      <c r="L16" s="27">
        <v>0</v>
      </c>
      <c r="M16" s="1"/>
    </row>
    <row r="17" spans="2:14" hidden="1" x14ac:dyDescent="0.35">
      <c r="B17" s="11">
        <v>13</v>
      </c>
      <c r="C17" s="17" t="s">
        <v>30</v>
      </c>
      <c r="D17" s="27"/>
      <c r="E17" s="27"/>
      <c r="F17" s="65">
        <f t="shared" si="3"/>
        <v>0</v>
      </c>
      <c r="G17" s="27">
        <f t="shared" si="2"/>
        <v>42059265.18</v>
      </c>
      <c r="H17" s="66">
        <v>0</v>
      </c>
      <c r="I17" s="27">
        <v>0</v>
      </c>
      <c r="J17" s="63"/>
      <c r="K17" s="66">
        <v>0</v>
      </c>
      <c r="L17" s="27">
        <v>0</v>
      </c>
      <c r="M17" s="1"/>
    </row>
    <row r="18" spans="2:14" hidden="1" x14ac:dyDescent="0.35">
      <c r="B18" s="11">
        <v>14</v>
      </c>
      <c r="C18" s="18" t="s">
        <v>31</v>
      </c>
      <c r="D18" s="27"/>
      <c r="E18" s="27"/>
      <c r="F18" s="65">
        <f t="shared" si="3"/>
        <v>0</v>
      </c>
      <c r="G18" s="27">
        <f t="shared" si="2"/>
        <v>42059265.18</v>
      </c>
      <c r="H18" s="66">
        <v>0</v>
      </c>
      <c r="I18" s="27">
        <v>0</v>
      </c>
      <c r="J18" s="63"/>
      <c r="K18" s="66">
        <v>0</v>
      </c>
      <c r="L18" s="27">
        <v>0</v>
      </c>
      <c r="M18" s="1"/>
    </row>
    <row r="19" spans="2:14" hidden="1" x14ac:dyDescent="0.35">
      <c r="B19" s="11">
        <v>15</v>
      </c>
      <c r="C19" s="17" t="s">
        <v>32</v>
      </c>
      <c r="D19" s="27"/>
      <c r="E19" s="27"/>
      <c r="F19" s="65">
        <f t="shared" si="3"/>
        <v>0</v>
      </c>
      <c r="G19" s="27">
        <f t="shared" si="2"/>
        <v>42059265.18</v>
      </c>
      <c r="H19" s="66">
        <v>0</v>
      </c>
      <c r="I19" s="27">
        <v>0</v>
      </c>
      <c r="J19" s="63"/>
      <c r="K19" s="66">
        <v>0</v>
      </c>
      <c r="L19" s="27">
        <v>0</v>
      </c>
      <c r="M19" s="1"/>
    </row>
    <row r="20" spans="2:14" hidden="1" x14ac:dyDescent="0.35">
      <c r="B20" s="11">
        <v>16</v>
      </c>
      <c r="C20" s="17" t="s">
        <v>33</v>
      </c>
      <c r="D20" s="27"/>
      <c r="E20" s="27"/>
      <c r="F20" s="65">
        <f t="shared" si="3"/>
        <v>0</v>
      </c>
      <c r="G20" s="27">
        <f t="shared" si="2"/>
        <v>42059265.18</v>
      </c>
      <c r="H20" s="66">
        <v>0</v>
      </c>
      <c r="I20" s="27">
        <v>0</v>
      </c>
      <c r="J20" s="63"/>
      <c r="K20" s="66">
        <v>0</v>
      </c>
      <c r="L20" s="27">
        <v>0</v>
      </c>
      <c r="M20" s="1"/>
    </row>
    <row r="21" spans="2:14" hidden="1" x14ac:dyDescent="0.35">
      <c r="B21" s="11">
        <v>17</v>
      </c>
      <c r="C21" s="17" t="s">
        <v>34</v>
      </c>
      <c r="D21" s="27"/>
      <c r="E21" s="27"/>
      <c r="F21" s="65">
        <f t="shared" si="3"/>
        <v>0</v>
      </c>
      <c r="G21" s="27">
        <f t="shared" si="2"/>
        <v>42059265.18</v>
      </c>
      <c r="H21" s="66">
        <v>0</v>
      </c>
      <c r="I21" s="27">
        <v>0</v>
      </c>
      <c r="J21" s="63"/>
      <c r="K21" s="66">
        <v>0</v>
      </c>
      <c r="L21" s="27">
        <v>0</v>
      </c>
      <c r="M21" s="1"/>
    </row>
    <row r="22" spans="2:14" hidden="1" x14ac:dyDescent="0.35">
      <c r="B22" s="11">
        <v>18</v>
      </c>
      <c r="C22" s="17" t="s">
        <v>35</v>
      </c>
      <c r="D22" s="27"/>
      <c r="E22" s="27"/>
      <c r="F22" s="65">
        <f t="shared" si="3"/>
        <v>0</v>
      </c>
      <c r="G22" s="27">
        <f t="shared" si="2"/>
        <v>42059265.18</v>
      </c>
      <c r="H22" s="66">
        <v>0</v>
      </c>
      <c r="I22" s="27">
        <v>0</v>
      </c>
      <c r="J22" s="63"/>
      <c r="K22" s="66">
        <v>0</v>
      </c>
      <c r="L22" s="27">
        <v>0</v>
      </c>
      <c r="M22" s="1"/>
    </row>
    <row r="23" spans="2:14" hidden="1" x14ac:dyDescent="0.35">
      <c r="B23" s="11">
        <v>19</v>
      </c>
      <c r="C23" s="17" t="s">
        <v>36</v>
      </c>
      <c r="D23" s="27"/>
      <c r="E23" s="27"/>
      <c r="F23" s="65">
        <f t="shared" si="3"/>
        <v>0</v>
      </c>
      <c r="G23" s="27">
        <f t="shared" si="2"/>
        <v>42059265.18</v>
      </c>
      <c r="H23" s="66">
        <v>0</v>
      </c>
      <c r="I23" s="27">
        <v>0</v>
      </c>
      <c r="J23" s="63"/>
      <c r="K23" s="66">
        <v>0</v>
      </c>
      <c r="L23" s="27">
        <v>0</v>
      </c>
      <c r="M23" s="1"/>
    </row>
    <row r="24" spans="2:14" hidden="1" x14ac:dyDescent="0.35">
      <c r="B24" s="11">
        <v>20</v>
      </c>
      <c r="C24" s="17" t="s">
        <v>37</v>
      </c>
      <c r="D24" s="27"/>
      <c r="E24" s="27"/>
      <c r="F24" s="65">
        <f t="shared" si="3"/>
        <v>0</v>
      </c>
      <c r="G24" s="27">
        <f t="shared" si="2"/>
        <v>42059265.18</v>
      </c>
      <c r="H24" s="66">
        <v>0</v>
      </c>
      <c r="I24" s="27">
        <v>0</v>
      </c>
      <c r="J24" s="63"/>
      <c r="K24" s="66">
        <v>0</v>
      </c>
      <c r="L24" s="27">
        <v>0</v>
      </c>
      <c r="M24" s="1"/>
    </row>
    <row r="25" spans="2:14" hidden="1" x14ac:dyDescent="0.35">
      <c r="B25" s="11">
        <v>21</v>
      </c>
      <c r="C25" s="17" t="s">
        <v>38</v>
      </c>
      <c r="D25" s="27"/>
      <c r="E25" s="27"/>
      <c r="F25" s="65">
        <f t="shared" si="3"/>
        <v>0</v>
      </c>
      <c r="G25" s="27">
        <f t="shared" si="2"/>
        <v>42059265.18</v>
      </c>
      <c r="H25" s="66">
        <v>0</v>
      </c>
      <c r="I25" s="27">
        <v>0</v>
      </c>
      <c r="J25" s="63"/>
      <c r="K25" s="66">
        <v>0</v>
      </c>
      <c r="L25" s="27">
        <v>0</v>
      </c>
      <c r="M25" s="1"/>
    </row>
    <row r="26" spans="2:14" hidden="1" x14ac:dyDescent="0.35">
      <c r="B26" s="11">
        <v>22</v>
      </c>
      <c r="C26" s="17" t="s">
        <v>39</v>
      </c>
      <c r="D26" s="27"/>
      <c r="E26" s="27"/>
      <c r="F26" s="65">
        <f t="shared" si="3"/>
        <v>0</v>
      </c>
      <c r="G26" s="27">
        <f t="shared" si="2"/>
        <v>42059265.18</v>
      </c>
      <c r="H26" s="66">
        <v>0</v>
      </c>
      <c r="I26" s="27">
        <v>0</v>
      </c>
      <c r="J26" s="63"/>
      <c r="K26" s="66">
        <v>0</v>
      </c>
      <c r="L26" s="27">
        <v>0</v>
      </c>
      <c r="M26" s="1"/>
    </row>
    <row r="27" spans="2:14" hidden="1" x14ac:dyDescent="0.35">
      <c r="B27" s="11">
        <v>23</v>
      </c>
      <c r="C27" s="17" t="s">
        <v>40</v>
      </c>
      <c r="D27" s="27"/>
      <c r="E27" s="27"/>
      <c r="F27" s="65">
        <f t="shared" si="3"/>
        <v>0</v>
      </c>
      <c r="G27" s="27">
        <f t="shared" si="2"/>
        <v>42059265.18</v>
      </c>
      <c r="H27" s="66">
        <v>0</v>
      </c>
      <c r="I27" s="27">
        <v>0</v>
      </c>
      <c r="J27" s="63"/>
      <c r="K27" s="66">
        <v>0</v>
      </c>
      <c r="L27" s="27">
        <v>0</v>
      </c>
      <c r="M27" s="1"/>
    </row>
    <row r="28" spans="2:14" hidden="1" x14ac:dyDescent="0.35">
      <c r="B28" s="11">
        <v>24</v>
      </c>
      <c r="C28" s="17" t="s">
        <v>41</v>
      </c>
      <c r="D28" s="27"/>
      <c r="E28" s="27"/>
      <c r="F28" s="65">
        <f t="shared" si="3"/>
        <v>0</v>
      </c>
      <c r="G28" s="27">
        <f t="shared" si="2"/>
        <v>42059265.18</v>
      </c>
      <c r="H28" s="66">
        <v>0</v>
      </c>
      <c r="I28" s="27">
        <v>0</v>
      </c>
      <c r="J28" s="63"/>
      <c r="K28" s="66">
        <v>0</v>
      </c>
      <c r="L28" s="27">
        <v>0</v>
      </c>
      <c r="M28" s="1"/>
    </row>
    <row r="29" spans="2:14" hidden="1" x14ac:dyDescent="0.35">
      <c r="B29" s="11">
        <v>25</v>
      </c>
      <c r="C29" s="19" t="s">
        <v>42</v>
      </c>
      <c r="D29" s="27"/>
      <c r="E29" s="27"/>
      <c r="F29" s="65">
        <f t="shared" si="3"/>
        <v>0</v>
      </c>
      <c r="G29" s="27">
        <f t="shared" si="2"/>
        <v>42059265.18</v>
      </c>
      <c r="H29" s="66">
        <v>0</v>
      </c>
      <c r="I29" s="27">
        <v>0</v>
      </c>
      <c r="J29" s="63"/>
      <c r="K29" s="66">
        <v>0</v>
      </c>
      <c r="L29" s="27">
        <v>0</v>
      </c>
      <c r="M29" s="1"/>
    </row>
    <row r="30" spans="2:14" hidden="1" x14ac:dyDescent="0.35">
      <c r="B30" s="11">
        <v>26</v>
      </c>
      <c r="C30" s="19" t="s">
        <v>43</v>
      </c>
      <c r="D30" s="27"/>
      <c r="E30" s="27"/>
      <c r="F30" s="65">
        <f t="shared" si="3"/>
        <v>0</v>
      </c>
      <c r="G30" s="27">
        <f t="shared" si="2"/>
        <v>42059265.18</v>
      </c>
      <c r="H30" s="66">
        <v>0</v>
      </c>
      <c r="I30" s="27">
        <v>0</v>
      </c>
      <c r="J30" s="63"/>
      <c r="K30" s="66">
        <v>0</v>
      </c>
      <c r="L30" s="27">
        <v>0</v>
      </c>
      <c r="M30" s="1"/>
    </row>
    <row r="31" spans="2:14" x14ac:dyDescent="0.35">
      <c r="B31" s="5"/>
      <c r="C31" s="5"/>
      <c r="D31" s="6"/>
      <c r="E31" s="6"/>
      <c r="F31" s="6"/>
      <c r="G31" s="6"/>
      <c r="H31" s="6"/>
      <c r="I31" s="6"/>
      <c r="J31" s="6"/>
      <c r="K31" s="6"/>
      <c r="L31" s="6"/>
      <c r="M31" s="53"/>
      <c r="N31" s="42"/>
    </row>
    <row r="32" spans="2:14" x14ac:dyDescent="0.35">
      <c r="B32" s="8" t="s">
        <v>44</v>
      </c>
      <c r="C32" s="5"/>
      <c r="D32" s="6"/>
      <c r="E32" s="6"/>
      <c r="F32" s="6"/>
      <c r="G32" s="6"/>
      <c r="H32" s="6"/>
      <c r="I32" s="6"/>
      <c r="J32" s="6"/>
      <c r="M32" s="42"/>
      <c r="N32" s="42"/>
    </row>
    <row r="33" spans="2:15" x14ac:dyDescent="0.35">
      <c r="B33" s="9" t="s">
        <v>45</v>
      </c>
      <c r="C33" s="5"/>
      <c r="D33" s="6"/>
      <c r="E33" s="6"/>
      <c r="F33" s="6"/>
      <c r="G33" s="6"/>
      <c r="H33" s="6"/>
      <c r="I33" s="6"/>
      <c r="J33" s="6"/>
    </row>
    <row r="34" spans="2:15" x14ac:dyDescent="0.35">
      <c r="B34" s="9" t="s">
        <v>46</v>
      </c>
      <c r="C34" s="5"/>
      <c r="D34" s="6"/>
      <c r="E34" s="6"/>
      <c r="F34" s="6"/>
      <c r="G34" s="6"/>
      <c r="H34" s="6"/>
      <c r="I34" s="6"/>
      <c r="J34" s="6"/>
    </row>
    <row r="35" spans="2:15" x14ac:dyDescent="0.35">
      <c r="B35" s="9" t="s">
        <v>47</v>
      </c>
      <c r="C35" s="5"/>
      <c r="D35" s="6"/>
      <c r="E35" s="6"/>
      <c r="F35" s="6"/>
      <c r="G35" s="6"/>
      <c r="H35" s="6"/>
      <c r="I35" s="6"/>
      <c r="J35" s="6"/>
    </row>
    <row r="36" spans="2:15" x14ac:dyDescent="0.35">
      <c r="B36" s="10"/>
      <c r="C36" s="10"/>
      <c r="D36" s="60"/>
      <c r="E36" s="60"/>
      <c r="F36" s="60"/>
      <c r="G36" s="60"/>
      <c r="H36" s="60"/>
      <c r="I36" s="60"/>
      <c r="J36" s="60"/>
      <c r="K36" s="60"/>
      <c r="L36" s="60"/>
      <c r="M36" s="40"/>
    </row>
    <row r="37" spans="2:15" x14ac:dyDescent="0.35">
      <c r="B37" s="9"/>
      <c r="C37" s="5"/>
      <c r="D37" s="6"/>
      <c r="E37" s="6"/>
      <c r="F37" s="6"/>
      <c r="G37" s="6"/>
      <c r="H37" s="6"/>
      <c r="I37" s="6"/>
      <c r="J37" s="6"/>
      <c r="K37" s="53"/>
    </row>
    <row r="38" spans="2:15" ht="18.5" x14ac:dyDescent="0.45">
      <c r="B38" s="10"/>
      <c r="C38" s="10"/>
      <c r="D38" s="112" t="s">
        <v>48</v>
      </c>
      <c r="E38" s="112"/>
      <c r="F38" s="112"/>
      <c r="G38" s="112"/>
      <c r="H38" s="112"/>
      <c r="I38" s="112"/>
      <c r="J38" s="60"/>
    </row>
    <row r="39" spans="2:15" s="38" customFormat="1" ht="21" x14ac:dyDescent="0.5">
      <c r="B39" s="28"/>
      <c r="C39" s="28"/>
      <c r="D39" s="113" t="s">
        <v>49</v>
      </c>
      <c r="E39" s="113"/>
      <c r="F39" s="113"/>
      <c r="G39" s="113"/>
      <c r="H39" s="113"/>
      <c r="I39" s="113"/>
      <c r="J39" s="91"/>
      <c r="K39" s="96"/>
      <c r="L39" s="96"/>
    </row>
    <row r="40" spans="2:15" ht="15.9" customHeight="1" x14ac:dyDescent="0.4">
      <c r="B40" s="124" t="s">
        <v>6</v>
      </c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40"/>
    </row>
    <row r="41" spans="2:15" ht="15" customHeight="1" x14ac:dyDescent="0.35">
      <c r="B41" s="15"/>
      <c r="C41" s="16"/>
      <c r="D41" s="114" t="s">
        <v>7</v>
      </c>
      <c r="E41" s="115"/>
      <c r="F41" s="115"/>
      <c r="G41" s="116"/>
      <c r="H41" s="117" t="s">
        <v>8</v>
      </c>
      <c r="I41" s="118"/>
      <c r="J41" s="92"/>
      <c r="K41" s="117" t="s">
        <v>9</v>
      </c>
      <c r="L41" s="118"/>
    </row>
    <row r="42" spans="2:15" ht="14.4" customHeight="1" x14ac:dyDescent="0.35">
      <c r="B42" s="13"/>
      <c r="C42" s="14"/>
      <c r="D42" s="121" t="s">
        <v>10</v>
      </c>
      <c r="E42" s="122"/>
      <c r="F42" s="122"/>
      <c r="G42" s="123"/>
      <c r="H42" s="119"/>
      <c r="I42" s="120"/>
      <c r="J42" s="92"/>
      <c r="K42" s="119"/>
      <c r="L42" s="120"/>
    </row>
    <row r="43" spans="2:15" ht="14.4" customHeight="1" x14ac:dyDescent="0.35">
      <c r="B43" s="128" t="s">
        <v>11</v>
      </c>
      <c r="C43" s="130" t="s">
        <v>12</v>
      </c>
      <c r="D43" s="80" t="s">
        <v>13</v>
      </c>
      <c r="E43" s="80" t="s">
        <v>14</v>
      </c>
      <c r="F43" s="80" t="s">
        <v>15</v>
      </c>
      <c r="G43" s="80" t="s">
        <v>16</v>
      </c>
      <c r="H43" s="132" t="s">
        <v>17</v>
      </c>
      <c r="I43" s="134" t="s">
        <v>18</v>
      </c>
      <c r="J43" s="93"/>
      <c r="K43" s="132" t="s">
        <v>19</v>
      </c>
      <c r="L43" s="134" t="s">
        <v>20</v>
      </c>
    </row>
    <row r="44" spans="2:15" ht="38.4" customHeight="1" x14ac:dyDescent="0.35">
      <c r="B44" s="129"/>
      <c r="C44" s="131"/>
      <c r="D44" s="125" t="s">
        <v>21</v>
      </c>
      <c r="E44" s="126"/>
      <c r="F44" s="126"/>
      <c r="G44" s="127"/>
      <c r="H44" s="133"/>
      <c r="I44" s="135"/>
      <c r="J44" s="93"/>
      <c r="K44" s="133"/>
      <c r="L44" s="135"/>
    </row>
    <row r="45" spans="2:15" x14ac:dyDescent="0.35">
      <c r="B45" s="43">
        <v>4</v>
      </c>
      <c r="C45" s="41" t="s">
        <v>22</v>
      </c>
      <c r="D45" s="22">
        <v>1599778.44</v>
      </c>
      <c r="E45" s="22">
        <v>0</v>
      </c>
      <c r="F45" s="61">
        <f>+D45+E45</f>
        <v>1599778.44</v>
      </c>
      <c r="G45" s="22">
        <f>+F45</f>
        <v>1599778.44</v>
      </c>
      <c r="H45" s="62">
        <f t="shared" ref="H45:H50" si="5">((G45-I45)/I45)*100</f>
        <v>128.08255308198244</v>
      </c>
      <c r="I45" s="22">
        <v>701403.25</v>
      </c>
      <c r="J45" s="63"/>
      <c r="K45" s="64">
        <f t="shared" ref="K45:K50" si="6">((G45-L45)/L45)*100</f>
        <v>-34.026320157977501</v>
      </c>
      <c r="L45" s="24">
        <f>7274621.23/3</f>
        <v>2424873.7433333336</v>
      </c>
    </row>
    <row r="46" spans="2:15" x14ac:dyDescent="0.35">
      <c r="B46" s="43">
        <v>5</v>
      </c>
      <c r="C46" s="41" t="s">
        <v>23</v>
      </c>
      <c r="D46" s="27">
        <v>5622775.5199999996</v>
      </c>
      <c r="E46" s="27">
        <v>0</v>
      </c>
      <c r="F46" s="65">
        <f>+E46+D46</f>
        <v>5622775.5199999996</v>
      </c>
      <c r="G46" s="27">
        <f>+G45+F46</f>
        <v>7222553.959999999</v>
      </c>
      <c r="H46" s="66">
        <f t="shared" si="5"/>
        <v>49.144504633418961</v>
      </c>
      <c r="I46" s="27">
        <f>+I45+4141251.85</f>
        <v>4842655.0999999996</v>
      </c>
      <c r="J46" s="63"/>
      <c r="K46" s="66">
        <f t="shared" si="6"/>
        <v>-4.4859812394465441</v>
      </c>
      <c r="L46" s="27">
        <f>22685321.13/3</f>
        <v>7561773.71</v>
      </c>
    </row>
    <row r="47" spans="2:15" x14ac:dyDescent="0.35">
      <c r="B47" s="43">
        <v>6</v>
      </c>
      <c r="C47" s="41" t="s">
        <v>24</v>
      </c>
      <c r="D47" s="27">
        <v>8495852.0099999998</v>
      </c>
      <c r="E47" s="27">
        <v>0</v>
      </c>
      <c r="F47" s="65">
        <f>+E47+D47</f>
        <v>8495852.0099999998</v>
      </c>
      <c r="G47" s="27">
        <f t="shared" ref="G47" si="7">+G46+F47</f>
        <v>15718405.969999999</v>
      </c>
      <c r="H47" s="66">
        <f t="shared" si="5"/>
        <v>86.832983197341335</v>
      </c>
      <c r="I47" s="27">
        <f>+I46+3570423.63</f>
        <v>8413078.7300000004</v>
      </c>
      <c r="J47" s="63"/>
      <c r="K47" s="66">
        <f t="shared" si="6"/>
        <v>28.879260622691326</v>
      </c>
      <c r="L47" s="27">
        <v>12196226.060000001</v>
      </c>
    </row>
    <row r="48" spans="2:15" x14ac:dyDescent="0.35">
      <c r="B48" s="43">
        <v>7</v>
      </c>
      <c r="C48" s="41" t="s">
        <v>25</v>
      </c>
      <c r="D48" s="27">
        <v>3567588.05</v>
      </c>
      <c r="E48" s="27">
        <f>+Thompsons!E49+Flame!E49+'SA Sultana'!E49+'OR Sultana'!E49+Goldens!E49+Currants!E49+Other!E49</f>
        <v>4019845</v>
      </c>
      <c r="F48" s="65">
        <f t="shared" ref="F48:F67" si="8">+E48+D48</f>
        <v>7587433.0499999998</v>
      </c>
      <c r="G48" s="27">
        <f>+G47+F48</f>
        <v>23305839.02</v>
      </c>
      <c r="H48" s="66">
        <f t="shared" si="5"/>
        <v>58.473363365115738</v>
      </c>
      <c r="I48" s="27">
        <f>+I47+6293392.14</f>
        <v>14706470.870000001</v>
      </c>
      <c r="J48" s="63"/>
      <c r="K48" s="66">
        <f t="shared" si="6"/>
        <v>25.708658641412395</v>
      </c>
      <c r="L48" s="27">
        <v>18539565.43</v>
      </c>
      <c r="N48" s="40"/>
      <c r="O48" s="40"/>
    </row>
    <row r="49" spans="2:12" ht="17.399999999999999" customHeight="1" x14ac:dyDescent="0.35">
      <c r="B49" s="43">
        <v>8</v>
      </c>
      <c r="C49" s="41" t="s">
        <v>26</v>
      </c>
      <c r="D49" s="27">
        <v>6905423.6200000001</v>
      </c>
      <c r="E49" s="27">
        <v>0</v>
      </c>
      <c r="F49" s="65">
        <f t="shared" si="8"/>
        <v>6905423.6200000001</v>
      </c>
      <c r="G49" s="27">
        <f t="shared" ref="G49:G50" si="9">+G48+F49</f>
        <v>30211262.640000001</v>
      </c>
      <c r="H49" s="66">
        <f t="shared" si="5"/>
        <v>39.459672634192088</v>
      </c>
      <c r="I49" s="27">
        <v>21663081.57</v>
      </c>
      <c r="J49" s="63"/>
      <c r="K49" s="66">
        <f t="shared" si="6"/>
        <v>16.881059624887744</v>
      </c>
      <c r="L49" s="27">
        <v>25847868.539999999</v>
      </c>
    </row>
    <row r="50" spans="2:12" x14ac:dyDescent="0.35">
      <c r="B50" s="43">
        <v>9</v>
      </c>
      <c r="C50" s="41" t="s">
        <v>27</v>
      </c>
      <c r="D50" s="27">
        <v>5022336.0199999996</v>
      </c>
      <c r="E50" s="27">
        <v>0</v>
      </c>
      <c r="F50" s="65">
        <f t="shared" si="8"/>
        <v>5022336.0199999996</v>
      </c>
      <c r="G50" s="68">
        <f t="shared" si="9"/>
        <v>35233598.659999996</v>
      </c>
      <c r="H50" s="66">
        <f t="shared" si="5"/>
        <v>20.987429194239883</v>
      </c>
      <c r="I50" s="27">
        <v>29121702.059999999</v>
      </c>
      <c r="J50" s="63"/>
      <c r="K50" s="66">
        <f t="shared" si="6"/>
        <v>3.7034464968198746</v>
      </c>
      <c r="L50" s="27">
        <f>101926020.35/3</f>
        <v>33975340.116666667</v>
      </c>
    </row>
    <row r="51" spans="2:12" hidden="1" x14ac:dyDescent="0.35">
      <c r="B51" s="11">
        <v>10</v>
      </c>
      <c r="C51" s="17" t="s">
        <v>50</v>
      </c>
      <c r="D51" s="27"/>
      <c r="E51" s="27"/>
      <c r="F51" s="65">
        <f t="shared" si="8"/>
        <v>0</v>
      </c>
      <c r="G51" s="27">
        <f t="shared" ref="G51:G67" si="10">+G50+F51</f>
        <v>35233598.659999996</v>
      </c>
      <c r="H51" s="66">
        <v>0</v>
      </c>
      <c r="I51" s="27">
        <v>0</v>
      </c>
      <c r="J51" s="63"/>
      <c r="K51" s="66">
        <v>0</v>
      </c>
      <c r="L51" s="27">
        <v>0</v>
      </c>
    </row>
    <row r="52" spans="2:12" hidden="1" x14ac:dyDescent="0.35">
      <c r="B52" s="11">
        <v>11</v>
      </c>
      <c r="C52" s="17" t="s">
        <v>28</v>
      </c>
      <c r="D52" s="27"/>
      <c r="E52" s="27"/>
      <c r="F52" s="65">
        <f t="shared" si="8"/>
        <v>0</v>
      </c>
      <c r="G52" s="27">
        <f t="shared" si="10"/>
        <v>35233598.659999996</v>
      </c>
      <c r="H52" s="66">
        <v>0</v>
      </c>
      <c r="I52" s="27">
        <v>0</v>
      </c>
      <c r="J52" s="63"/>
      <c r="K52" s="66">
        <v>0</v>
      </c>
      <c r="L52" s="27">
        <v>0</v>
      </c>
    </row>
    <row r="53" spans="2:12" hidden="1" x14ac:dyDescent="0.35">
      <c r="B53" s="11">
        <v>12</v>
      </c>
      <c r="C53" s="17" t="s">
        <v>29</v>
      </c>
      <c r="D53" s="27"/>
      <c r="E53" s="27"/>
      <c r="F53" s="65">
        <f t="shared" si="8"/>
        <v>0</v>
      </c>
      <c r="G53" s="27">
        <f t="shared" si="10"/>
        <v>35233598.659999996</v>
      </c>
      <c r="H53" s="66">
        <v>0</v>
      </c>
      <c r="I53" s="27">
        <v>0</v>
      </c>
      <c r="J53" s="63"/>
      <c r="K53" s="66">
        <v>0</v>
      </c>
      <c r="L53" s="27">
        <v>0</v>
      </c>
    </row>
    <row r="54" spans="2:12" hidden="1" x14ac:dyDescent="0.35">
      <c r="B54" s="11">
        <v>13</v>
      </c>
      <c r="C54" s="17" t="s">
        <v>30</v>
      </c>
      <c r="D54" s="27"/>
      <c r="E54" s="27"/>
      <c r="F54" s="65">
        <f t="shared" si="8"/>
        <v>0</v>
      </c>
      <c r="G54" s="27">
        <f t="shared" si="10"/>
        <v>35233598.659999996</v>
      </c>
      <c r="H54" s="66">
        <v>0</v>
      </c>
      <c r="I54" s="27">
        <v>0</v>
      </c>
      <c r="J54" s="63"/>
      <c r="K54" s="66">
        <v>0</v>
      </c>
      <c r="L54" s="27">
        <v>0</v>
      </c>
    </row>
    <row r="55" spans="2:12" hidden="1" x14ac:dyDescent="0.35">
      <c r="B55" s="11">
        <v>14</v>
      </c>
      <c r="C55" s="18" t="s">
        <v>31</v>
      </c>
      <c r="D55" s="27"/>
      <c r="E55" s="27"/>
      <c r="F55" s="65">
        <f t="shared" si="8"/>
        <v>0</v>
      </c>
      <c r="G55" s="27">
        <f t="shared" si="10"/>
        <v>35233598.659999996</v>
      </c>
      <c r="H55" s="66">
        <v>0</v>
      </c>
      <c r="I55" s="27">
        <v>0</v>
      </c>
      <c r="J55" s="63"/>
      <c r="K55" s="66">
        <v>0</v>
      </c>
      <c r="L55" s="27">
        <v>0</v>
      </c>
    </row>
    <row r="56" spans="2:12" hidden="1" x14ac:dyDescent="0.35">
      <c r="B56" s="11">
        <v>15</v>
      </c>
      <c r="C56" s="17" t="s">
        <v>32</v>
      </c>
      <c r="D56" s="27"/>
      <c r="E56" s="27"/>
      <c r="F56" s="65">
        <f t="shared" si="8"/>
        <v>0</v>
      </c>
      <c r="G56" s="27">
        <f t="shared" si="10"/>
        <v>35233598.659999996</v>
      </c>
      <c r="H56" s="66">
        <v>0</v>
      </c>
      <c r="I56" s="27">
        <v>0</v>
      </c>
      <c r="J56" s="63"/>
      <c r="K56" s="66">
        <v>0</v>
      </c>
      <c r="L56" s="27">
        <v>0</v>
      </c>
    </row>
    <row r="57" spans="2:12" hidden="1" x14ac:dyDescent="0.35">
      <c r="B57" s="11">
        <v>16</v>
      </c>
      <c r="C57" s="17" t="s">
        <v>33</v>
      </c>
      <c r="D57" s="27"/>
      <c r="E57" s="27"/>
      <c r="F57" s="65">
        <f t="shared" si="8"/>
        <v>0</v>
      </c>
      <c r="G57" s="27">
        <f t="shared" si="10"/>
        <v>35233598.659999996</v>
      </c>
      <c r="H57" s="66">
        <v>0</v>
      </c>
      <c r="I57" s="27">
        <v>0</v>
      </c>
      <c r="J57" s="63"/>
      <c r="K57" s="66">
        <v>0</v>
      </c>
      <c r="L57" s="27">
        <v>0</v>
      </c>
    </row>
    <row r="58" spans="2:12" hidden="1" x14ac:dyDescent="0.35">
      <c r="B58" s="11">
        <v>17</v>
      </c>
      <c r="C58" s="17" t="s">
        <v>34</v>
      </c>
      <c r="D58" s="27"/>
      <c r="E58" s="27"/>
      <c r="F58" s="65">
        <f t="shared" si="8"/>
        <v>0</v>
      </c>
      <c r="G58" s="27">
        <f t="shared" si="10"/>
        <v>35233598.659999996</v>
      </c>
      <c r="H58" s="66">
        <v>0</v>
      </c>
      <c r="I58" s="27">
        <v>0</v>
      </c>
      <c r="J58" s="63"/>
      <c r="K58" s="66">
        <v>0</v>
      </c>
      <c r="L58" s="27">
        <v>0</v>
      </c>
    </row>
    <row r="59" spans="2:12" hidden="1" x14ac:dyDescent="0.35">
      <c r="B59" s="11">
        <v>18</v>
      </c>
      <c r="C59" s="17" t="s">
        <v>35</v>
      </c>
      <c r="D59" s="27"/>
      <c r="E59" s="27"/>
      <c r="F59" s="65">
        <f t="shared" si="8"/>
        <v>0</v>
      </c>
      <c r="G59" s="27">
        <f t="shared" si="10"/>
        <v>35233598.659999996</v>
      </c>
      <c r="H59" s="66">
        <v>0</v>
      </c>
      <c r="I59" s="27">
        <v>0</v>
      </c>
      <c r="J59" s="63"/>
      <c r="K59" s="66">
        <v>0</v>
      </c>
      <c r="L59" s="27">
        <v>0</v>
      </c>
    </row>
    <row r="60" spans="2:12" hidden="1" x14ac:dyDescent="0.35">
      <c r="B60" s="11">
        <v>19</v>
      </c>
      <c r="C60" s="17" t="s">
        <v>36</v>
      </c>
      <c r="D60" s="27"/>
      <c r="E60" s="27"/>
      <c r="F60" s="65">
        <f t="shared" si="8"/>
        <v>0</v>
      </c>
      <c r="G60" s="27">
        <f t="shared" si="10"/>
        <v>35233598.659999996</v>
      </c>
      <c r="H60" s="66">
        <v>0</v>
      </c>
      <c r="I60" s="27">
        <v>0</v>
      </c>
      <c r="J60" s="63"/>
      <c r="K60" s="66">
        <v>0</v>
      </c>
      <c r="L60" s="27">
        <v>0</v>
      </c>
    </row>
    <row r="61" spans="2:12" hidden="1" x14ac:dyDescent="0.35">
      <c r="B61" s="11">
        <v>20</v>
      </c>
      <c r="C61" s="17" t="s">
        <v>37</v>
      </c>
      <c r="D61" s="27"/>
      <c r="E61" s="27"/>
      <c r="F61" s="65">
        <f t="shared" si="8"/>
        <v>0</v>
      </c>
      <c r="G61" s="27">
        <f t="shared" si="10"/>
        <v>35233598.659999996</v>
      </c>
      <c r="H61" s="66">
        <v>0</v>
      </c>
      <c r="I61" s="27">
        <v>0</v>
      </c>
      <c r="J61" s="63"/>
      <c r="K61" s="66">
        <v>0</v>
      </c>
      <c r="L61" s="27">
        <v>0</v>
      </c>
    </row>
    <row r="62" spans="2:12" hidden="1" x14ac:dyDescent="0.35">
      <c r="B62" s="11">
        <v>21</v>
      </c>
      <c r="C62" s="17" t="s">
        <v>38</v>
      </c>
      <c r="D62" s="27"/>
      <c r="E62" s="27"/>
      <c r="F62" s="65">
        <f t="shared" si="8"/>
        <v>0</v>
      </c>
      <c r="G62" s="27">
        <f t="shared" si="10"/>
        <v>35233598.659999996</v>
      </c>
      <c r="H62" s="66">
        <v>0</v>
      </c>
      <c r="I62" s="27">
        <v>0</v>
      </c>
      <c r="J62" s="63"/>
      <c r="K62" s="66">
        <v>0</v>
      </c>
      <c r="L62" s="27">
        <v>0</v>
      </c>
    </row>
    <row r="63" spans="2:12" hidden="1" x14ac:dyDescent="0.35">
      <c r="B63" s="11">
        <v>22</v>
      </c>
      <c r="C63" s="17" t="s">
        <v>39</v>
      </c>
      <c r="D63" s="27"/>
      <c r="E63" s="27"/>
      <c r="F63" s="65">
        <f t="shared" si="8"/>
        <v>0</v>
      </c>
      <c r="G63" s="27">
        <f t="shared" si="10"/>
        <v>35233598.659999996</v>
      </c>
      <c r="H63" s="66">
        <v>0</v>
      </c>
      <c r="I63" s="27">
        <v>0</v>
      </c>
      <c r="J63" s="63"/>
      <c r="K63" s="66">
        <v>0</v>
      </c>
      <c r="L63" s="27">
        <v>0</v>
      </c>
    </row>
    <row r="64" spans="2:12" hidden="1" x14ac:dyDescent="0.35">
      <c r="B64" s="11">
        <v>23</v>
      </c>
      <c r="C64" s="17" t="s">
        <v>40</v>
      </c>
      <c r="D64" s="27"/>
      <c r="E64" s="27"/>
      <c r="F64" s="65">
        <f t="shared" si="8"/>
        <v>0</v>
      </c>
      <c r="G64" s="27">
        <f t="shared" si="10"/>
        <v>35233598.659999996</v>
      </c>
      <c r="H64" s="66">
        <v>0</v>
      </c>
      <c r="I64" s="27">
        <v>0</v>
      </c>
      <c r="J64" s="63"/>
      <c r="K64" s="66">
        <v>0</v>
      </c>
      <c r="L64" s="27">
        <v>0</v>
      </c>
    </row>
    <row r="65" spans="2:12" hidden="1" x14ac:dyDescent="0.35">
      <c r="B65" s="11">
        <v>24</v>
      </c>
      <c r="C65" s="17" t="s">
        <v>41</v>
      </c>
      <c r="D65" s="27"/>
      <c r="E65" s="27"/>
      <c r="F65" s="65">
        <f t="shared" si="8"/>
        <v>0</v>
      </c>
      <c r="G65" s="27">
        <f t="shared" si="10"/>
        <v>35233598.659999996</v>
      </c>
      <c r="H65" s="66">
        <v>0</v>
      </c>
      <c r="I65" s="27">
        <v>0</v>
      </c>
      <c r="J65" s="63"/>
      <c r="K65" s="66">
        <v>0</v>
      </c>
      <c r="L65" s="27">
        <v>0</v>
      </c>
    </row>
    <row r="66" spans="2:12" hidden="1" x14ac:dyDescent="0.35">
      <c r="B66" s="11">
        <v>25</v>
      </c>
      <c r="C66" s="19" t="s">
        <v>42</v>
      </c>
      <c r="D66" s="27"/>
      <c r="E66" s="27"/>
      <c r="F66" s="65">
        <f t="shared" si="8"/>
        <v>0</v>
      </c>
      <c r="G66" s="27">
        <f t="shared" si="10"/>
        <v>35233598.659999996</v>
      </c>
      <c r="H66" s="66">
        <v>0</v>
      </c>
      <c r="I66" s="27">
        <v>0</v>
      </c>
      <c r="J66" s="63"/>
      <c r="K66" s="66">
        <v>0</v>
      </c>
      <c r="L66" s="27">
        <v>0</v>
      </c>
    </row>
    <row r="67" spans="2:12" hidden="1" x14ac:dyDescent="0.35">
      <c r="B67" s="29">
        <v>26</v>
      </c>
      <c r="C67" s="30" t="s">
        <v>43</v>
      </c>
      <c r="D67" s="34"/>
      <c r="E67" s="34"/>
      <c r="F67" s="94">
        <f t="shared" si="8"/>
        <v>0</v>
      </c>
      <c r="G67" s="34">
        <f t="shared" si="10"/>
        <v>35233598.659999996</v>
      </c>
      <c r="H67" s="95">
        <v>0</v>
      </c>
      <c r="I67" s="34">
        <v>0</v>
      </c>
      <c r="J67" s="63"/>
      <c r="K67" s="66">
        <v>0</v>
      </c>
      <c r="L67" s="27">
        <v>0</v>
      </c>
    </row>
    <row r="68" spans="2:12" x14ac:dyDescent="0.35">
      <c r="B68" s="5"/>
      <c r="C68" s="5"/>
      <c r="D68" s="6"/>
      <c r="E68" s="6"/>
      <c r="F68" s="6"/>
      <c r="G68" s="6"/>
      <c r="H68" s="6"/>
      <c r="I68" s="6"/>
      <c r="J68" s="6"/>
    </row>
    <row r="69" spans="2:12" x14ac:dyDescent="0.35">
      <c r="B69" s="8" t="s">
        <v>44</v>
      </c>
      <c r="C69" s="5"/>
      <c r="D69" s="6"/>
      <c r="E69" s="6"/>
      <c r="F69" s="6"/>
      <c r="G69" s="6"/>
      <c r="H69" s="6"/>
      <c r="I69" s="6"/>
      <c r="J69" s="6"/>
    </row>
    <row r="70" spans="2:12" x14ac:dyDescent="0.35">
      <c r="B70" s="9" t="s">
        <v>45</v>
      </c>
      <c r="C70" s="5"/>
      <c r="D70" s="6"/>
      <c r="E70" s="6"/>
      <c r="F70" s="6"/>
      <c r="G70" s="6"/>
      <c r="H70" s="6"/>
      <c r="I70" s="6"/>
      <c r="J70" s="6"/>
    </row>
    <row r="71" spans="2:12" x14ac:dyDescent="0.35">
      <c r="B71" s="9" t="s">
        <v>46</v>
      </c>
      <c r="C71" s="5"/>
      <c r="D71" s="6"/>
      <c r="E71" s="6"/>
      <c r="F71" s="6"/>
      <c r="G71" s="6"/>
      <c r="H71" s="6"/>
      <c r="I71" s="6"/>
      <c r="J71" s="6"/>
    </row>
    <row r="72" spans="2:12" x14ac:dyDescent="0.35">
      <c r="B72" s="9" t="s">
        <v>47</v>
      </c>
      <c r="C72" s="5"/>
      <c r="D72" s="6"/>
      <c r="E72" s="6"/>
      <c r="F72" s="6"/>
      <c r="G72" s="6"/>
      <c r="H72" s="6"/>
      <c r="I72" s="6"/>
      <c r="J72" s="6"/>
    </row>
    <row r="73" spans="2:12" x14ac:dyDescent="0.35">
      <c r="B73" s="10"/>
      <c r="C73" s="10"/>
      <c r="D73" s="60"/>
      <c r="E73" s="60"/>
      <c r="F73" s="60"/>
      <c r="G73" s="60"/>
      <c r="H73" s="60"/>
      <c r="I73" s="60"/>
      <c r="J73" s="60"/>
    </row>
    <row r="74" spans="2:12" x14ac:dyDescent="0.35">
      <c r="B74" s="10"/>
      <c r="C74" s="10"/>
      <c r="D74" s="60"/>
      <c r="E74" s="60"/>
      <c r="F74" s="60"/>
      <c r="G74" s="60"/>
      <c r="H74" s="60"/>
      <c r="I74" s="60"/>
      <c r="J74" s="60"/>
    </row>
    <row r="75" spans="2:12" ht="18.5" x14ac:dyDescent="0.45">
      <c r="B75" s="10"/>
      <c r="C75" s="10"/>
      <c r="D75" s="136" t="s">
        <v>51</v>
      </c>
      <c r="E75" s="136"/>
      <c r="F75" s="136"/>
      <c r="G75" s="136"/>
      <c r="H75" s="136"/>
      <c r="I75" s="136"/>
      <c r="J75" s="60"/>
    </row>
    <row r="76" spans="2:12" s="38" customFormat="1" ht="21" x14ac:dyDescent="0.5">
      <c r="B76" s="28"/>
      <c r="C76" s="28"/>
      <c r="D76" s="137" t="s">
        <v>49</v>
      </c>
      <c r="E76" s="137"/>
      <c r="F76" s="137"/>
      <c r="G76" s="137"/>
      <c r="H76" s="137"/>
      <c r="I76" s="137"/>
      <c r="J76" s="91"/>
      <c r="K76" s="96"/>
      <c r="L76" s="96"/>
    </row>
    <row r="77" spans="2:12" ht="15.9" customHeight="1" x14ac:dyDescent="0.4">
      <c r="B77" s="124" t="s">
        <v>6</v>
      </c>
      <c r="C77" s="124"/>
      <c r="D77" s="124"/>
      <c r="E77" s="124"/>
      <c r="F77" s="124"/>
      <c r="G77" s="124"/>
      <c r="H77" s="124"/>
      <c r="I77" s="124"/>
      <c r="J77" s="124"/>
      <c r="K77" s="124"/>
      <c r="L77" s="124"/>
    </row>
    <row r="78" spans="2:12" ht="14.4" customHeight="1" x14ac:dyDescent="0.35">
      <c r="B78" s="15"/>
      <c r="C78" s="16"/>
      <c r="D78" s="114" t="s">
        <v>7</v>
      </c>
      <c r="E78" s="115"/>
      <c r="F78" s="115"/>
      <c r="G78" s="116"/>
      <c r="H78" s="117" t="s">
        <v>8</v>
      </c>
      <c r="I78" s="118"/>
      <c r="J78" s="92"/>
      <c r="K78" s="117" t="s">
        <v>9</v>
      </c>
      <c r="L78" s="118"/>
    </row>
    <row r="79" spans="2:12" ht="14.4" customHeight="1" x14ac:dyDescent="0.35">
      <c r="B79" s="13"/>
      <c r="C79" s="14"/>
      <c r="D79" s="121" t="s">
        <v>10</v>
      </c>
      <c r="E79" s="122"/>
      <c r="F79" s="122"/>
      <c r="G79" s="123"/>
      <c r="H79" s="119"/>
      <c r="I79" s="120"/>
      <c r="J79" s="92"/>
      <c r="K79" s="119"/>
      <c r="L79" s="120"/>
    </row>
    <row r="80" spans="2:12" ht="14.4" customHeight="1" x14ac:dyDescent="0.35">
      <c r="B80" s="128" t="s">
        <v>11</v>
      </c>
      <c r="C80" s="130" t="s">
        <v>12</v>
      </c>
      <c r="D80" s="80" t="s">
        <v>13</v>
      </c>
      <c r="E80" s="80" t="s">
        <v>14</v>
      </c>
      <c r="F80" s="80" t="s">
        <v>15</v>
      </c>
      <c r="G80" s="80" t="s">
        <v>16</v>
      </c>
      <c r="H80" s="132" t="s">
        <v>17</v>
      </c>
      <c r="I80" s="134" t="s">
        <v>18</v>
      </c>
      <c r="J80" s="93"/>
      <c r="K80" s="132" t="s">
        <v>19</v>
      </c>
      <c r="L80" s="134" t="s">
        <v>20</v>
      </c>
    </row>
    <row r="81" spans="2:14" ht="39.65" customHeight="1" x14ac:dyDescent="0.35">
      <c r="B81" s="129"/>
      <c r="C81" s="131"/>
      <c r="D81" s="125" t="s">
        <v>21</v>
      </c>
      <c r="E81" s="126"/>
      <c r="F81" s="126"/>
      <c r="G81" s="127"/>
      <c r="H81" s="133"/>
      <c r="I81" s="135"/>
      <c r="J81" s="93"/>
      <c r="K81" s="133"/>
      <c r="L81" s="135"/>
    </row>
    <row r="82" spans="2:14" x14ac:dyDescent="0.35">
      <c r="B82" s="43">
        <v>4</v>
      </c>
      <c r="C82" s="41" t="s">
        <v>22</v>
      </c>
      <c r="D82" s="22">
        <v>0</v>
      </c>
      <c r="E82" s="22">
        <v>0</v>
      </c>
      <c r="F82" s="61">
        <f>+D82+E82</f>
        <v>0</v>
      </c>
      <c r="G82" s="22">
        <f>+F82</f>
        <v>0</v>
      </c>
      <c r="H82" s="62">
        <v>0</v>
      </c>
      <c r="I82" s="22">
        <v>0</v>
      </c>
      <c r="J82" s="63"/>
      <c r="K82" s="64">
        <f t="shared" ref="K82:K87" si="11">((G82-L82)/L82)*100</f>
        <v>-100</v>
      </c>
      <c r="L82" s="24">
        <f>685181.51/3</f>
        <v>228393.83666666667</v>
      </c>
    </row>
    <row r="83" spans="2:14" x14ac:dyDescent="0.35">
      <c r="B83" s="43">
        <v>5</v>
      </c>
      <c r="C83" s="41" t="s">
        <v>23</v>
      </c>
      <c r="D83" s="27">
        <v>596772.69999999995</v>
      </c>
      <c r="E83" s="27">
        <v>0</v>
      </c>
      <c r="F83" s="65">
        <f>+E83+D83</f>
        <v>596772.69999999995</v>
      </c>
      <c r="G83" s="27">
        <f>+G82+F83</f>
        <v>596772.69999999995</v>
      </c>
      <c r="H83" s="66">
        <f t="shared" ref="H83:H87" si="12">((G83-I83)/I83)*100</f>
        <v>65.242254621055423</v>
      </c>
      <c r="I83" s="27">
        <v>361150.18</v>
      </c>
      <c r="J83" s="63"/>
      <c r="K83" s="66">
        <f t="shared" si="11"/>
        <v>-31.549397839415278</v>
      </c>
      <c r="L83" s="27">
        <f>2615489.19/3</f>
        <v>871829.73</v>
      </c>
    </row>
    <row r="84" spans="2:14" x14ac:dyDescent="0.35">
      <c r="B84" s="43">
        <v>6</v>
      </c>
      <c r="C84" s="41" t="s">
        <v>24</v>
      </c>
      <c r="D84" s="27">
        <v>827033.16</v>
      </c>
      <c r="E84" s="27">
        <v>0</v>
      </c>
      <c r="F84" s="65">
        <f>+E84+D84</f>
        <v>827033.16</v>
      </c>
      <c r="G84" s="27">
        <f t="shared" ref="G84" si="13">+G83+F84</f>
        <v>1423805.8599999999</v>
      </c>
      <c r="H84" s="66">
        <f t="shared" si="12"/>
        <v>24.524711214144862</v>
      </c>
      <c r="I84" s="27">
        <f>+I83+782242.04</f>
        <v>1143392.22</v>
      </c>
      <c r="J84" s="63"/>
      <c r="K84" s="66">
        <f t="shared" si="11"/>
        <v>-12.073941291159628</v>
      </c>
      <c r="L84" s="27">
        <f>4857965.48/3</f>
        <v>1619321.8266666669</v>
      </c>
    </row>
    <row r="85" spans="2:14" x14ac:dyDescent="0.35">
      <c r="B85" s="43">
        <v>7</v>
      </c>
      <c r="C85" s="41" t="s">
        <v>25</v>
      </c>
      <c r="D85" s="27">
        <v>573656.71</v>
      </c>
      <c r="E85" s="27">
        <f>+Thompsons!E86+Flame!E86+'SA Sultana'!E86+'OR Sultana'!E86+Goldens!E86+Currants!E86+Other!E86</f>
        <v>841299</v>
      </c>
      <c r="F85" s="65">
        <f t="shared" ref="F85:F104" si="14">+E85+D85</f>
        <v>1414955.71</v>
      </c>
      <c r="G85" s="27">
        <f>+G84+F85</f>
        <v>2838761.57</v>
      </c>
      <c r="H85" s="66">
        <f t="shared" si="12"/>
        <v>41.957435106063876</v>
      </c>
      <c r="I85" s="27">
        <f>+I84+856335.07</f>
        <v>1999727.29</v>
      </c>
      <c r="J85" s="63"/>
      <c r="K85" s="66">
        <f t="shared" si="11"/>
        <v>6.236940955614438</v>
      </c>
      <c r="L85" s="27">
        <f>8016312.06/3</f>
        <v>2672104.02</v>
      </c>
      <c r="N85" s="42"/>
    </row>
    <row r="86" spans="2:14" x14ac:dyDescent="0.35">
      <c r="B86" s="43">
        <v>8</v>
      </c>
      <c r="C86" s="41" t="s">
        <v>26</v>
      </c>
      <c r="D86" s="27">
        <v>1177667.52</v>
      </c>
      <c r="E86" s="27">
        <v>0</v>
      </c>
      <c r="F86" s="65">
        <f t="shared" si="14"/>
        <v>1177667.52</v>
      </c>
      <c r="G86" s="27">
        <f t="shared" ref="G86:G87" si="15">+G85+F86</f>
        <v>4016429.09</v>
      </c>
      <c r="H86" s="66">
        <f t="shared" si="12"/>
        <v>6.9478655325499741</v>
      </c>
      <c r="I86" s="27">
        <v>3755501.87</v>
      </c>
      <c r="J86" s="63"/>
      <c r="K86" s="66">
        <f t="shared" si="11"/>
        <v>2.4628347165498843</v>
      </c>
      <c r="L86" s="27">
        <f>11759666.13/3</f>
        <v>3919888.7100000004</v>
      </c>
    </row>
    <row r="87" spans="2:14" x14ac:dyDescent="0.35">
      <c r="B87" s="43">
        <v>9</v>
      </c>
      <c r="C87" s="41" t="s">
        <v>27</v>
      </c>
      <c r="D87" s="27">
        <v>1339953.24</v>
      </c>
      <c r="E87" s="27">
        <v>0</v>
      </c>
      <c r="F87" s="65">
        <f t="shared" si="14"/>
        <v>1339953.24</v>
      </c>
      <c r="G87" s="69">
        <f t="shared" si="15"/>
        <v>5356382.33</v>
      </c>
      <c r="H87" s="66">
        <f t="shared" si="12"/>
        <v>11.342812930336482</v>
      </c>
      <c r="I87" s="27">
        <v>4810712.24</v>
      </c>
      <c r="J87" s="63"/>
      <c r="K87" s="66">
        <f t="shared" si="11"/>
        <v>-1.1249100493497117</v>
      </c>
      <c r="L87" s="27">
        <f>16251967/3</f>
        <v>5417322.333333333</v>
      </c>
    </row>
    <row r="88" spans="2:14" hidden="1" x14ac:dyDescent="0.35">
      <c r="B88" s="11">
        <v>10</v>
      </c>
      <c r="C88" s="17" t="s">
        <v>50</v>
      </c>
      <c r="D88" s="27"/>
      <c r="E88" s="27"/>
      <c r="F88" s="65">
        <f t="shared" si="14"/>
        <v>0</v>
      </c>
      <c r="G88" s="27">
        <f t="shared" ref="G88:G104" si="16">+G87+F88</f>
        <v>5356382.33</v>
      </c>
      <c r="H88" s="66">
        <v>0</v>
      </c>
      <c r="I88" s="27">
        <v>0</v>
      </c>
      <c r="J88" s="63"/>
      <c r="K88" s="66">
        <v>0</v>
      </c>
      <c r="L88" s="27">
        <v>0</v>
      </c>
    </row>
    <row r="89" spans="2:14" hidden="1" x14ac:dyDescent="0.35">
      <c r="B89" s="11">
        <v>11</v>
      </c>
      <c r="C89" s="17" t="s">
        <v>28</v>
      </c>
      <c r="D89" s="27"/>
      <c r="E89" s="27"/>
      <c r="F89" s="65">
        <f t="shared" si="14"/>
        <v>0</v>
      </c>
      <c r="G89" s="27">
        <f t="shared" si="16"/>
        <v>5356382.33</v>
      </c>
      <c r="H89" s="66">
        <v>0</v>
      </c>
      <c r="I89" s="27">
        <v>0</v>
      </c>
      <c r="J89" s="63"/>
      <c r="K89" s="66">
        <v>0</v>
      </c>
      <c r="L89" s="27">
        <v>0</v>
      </c>
    </row>
    <row r="90" spans="2:14" hidden="1" x14ac:dyDescent="0.35">
      <c r="B90" s="11">
        <v>12</v>
      </c>
      <c r="C90" s="17" t="s">
        <v>29</v>
      </c>
      <c r="D90" s="27"/>
      <c r="E90" s="27"/>
      <c r="F90" s="65">
        <f t="shared" si="14"/>
        <v>0</v>
      </c>
      <c r="G90" s="27">
        <f t="shared" si="16"/>
        <v>5356382.33</v>
      </c>
      <c r="H90" s="66">
        <v>0</v>
      </c>
      <c r="I90" s="27">
        <v>0</v>
      </c>
      <c r="J90" s="63"/>
      <c r="K90" s="66">
        <v>0</v>
      </c>
      <c r="L90" s="27">
        <v>0</v>
      </c>
    </row>
    <row r="91" spans="2:14" hidden="1" x14ac:dyDescent="0.35">
      <c r="B91" s="11">
        <v>13</v>
      </c>
      <c r="C91" s="17" t="s">
        <v>30</v>
      </c>
      <c r="D91" s="27"/>
      <c r="E91" s="27"/>
      <c r="F91" s="65">
        <f t="shared" si="14"/>
        <v>0</v>
      </c>
      <c r="G91" s="27">
        <f t="shared" si="16"/>
        <v>5356382.33</v>
      </c>
      <c r="H91" s="66">
        <v>0</v>
      </c>
      <c r="I91" s="27">
        <v>0</v>
      </c>
      <c r="J91" s="63"/>
      <c r="K91" s="66">
        <v>0</v>
      </c>
      <c r="L91" s="27">
        <v>0</v>
      </c>
    </row>
    <row r="92" spans="2:14" hidden="1" x14ac:dyDescent="0.35">
      <c r="B92" s="11">
        <v>14</v>
      </c>
      <c r="C92" s="18" t="s">
        <v>31</v>
      </c>
      <c r="D92" s="27"/>
      <c r="E92" s="27"/>
      <c r="F92" s="65">
        <f t="shared" si="14"/>
        <v>0</v>
      </c>
      <c r="G92" s="27">
        <f t="shared" si="16"/>
        <v>5356382.33</v>
      </c>
      <c r="H92" s="66">
        <v>0</v>
      </c>
      <c r="I92" s="27">
        <v>0</v>
      </c>
      <c r="J92" s="63"/>
      <c r="K92" s="66">
        <v>0</v>
      </c>
      <c r="L92" s="27">
        <v>0</v>
      </c>
    </row>
    <row r="93" spans="2:14" hidden="1" x14ac:dyDescent="0.35">
      <c r="B93" s="11">
        <v>15</v>
      </c>
      <c r="C93" s="17" t="s">
        <v>32</v>
      </c>
      <c r="D93" s="27"/>
      <c r="E93" s="27"/>
      <c r="F93" s="65">
        <f t="shared" si="14"/>
        <v>0</v>
      </c>
      <c r="G93" s="27">
        <f t="shared" si="16"/>
        <v>5356382.33</v>
      </c>
      <c r="H93" s="66">
        <v>0</v>
      </c>
      <c r="I93" s="27">
        <v>0</v>
      </c>
      <c r="J93" s="63"/>
      <c r="K93" s="66">
        <v>0</v>
      </c>
      <c r="L93" s="27">
        <v>0</v>
      </c>
    </row>
    <row r="94" spans="2:14" hidden="1" x14ac:dyDescent="0.35">
      <c r="B94" s="11">
        <v>16</v>
      </c>
      <c r="C94" s="17" t="s">
        <v>33</v>
      </c>
      <c r="D94" s="27"/>
      <c r="E94" s="27"/>
      <c r="F94" s="65">
        <f t="shared" si="14"/>
        <v>0</v>
      </c>
      <c r="G94" s="27">
        <f t="shared" si="16"/>
        <v>5356382.33</v>
      </c>
      <c r="H94" s="66">
        <v>0</v>
      </c>
      <c r="I94" s="27">
        <v>0</v>
      </c>
      <c r="J94" s="63"/>
      <c r="K94" s="66">
        <v>0</v>
      </c>
      <c r="L94" s="27">
        <v>0</v>
      </c>
    </row>
    <row r="95" spans="2:14" hidden="1" x14ac:dyDescent="0.35">
      <c r="B95" s="11">
        <v>17</v>
      </c>
      <c r="C95" s="17" t="s">
        <v>34</v>
      </c>
      <c r="D95" s="27"/>
      <c r="E95" s="27"/>
      <c r="F95" s="65">
        <f t="shared" si="14"/>
        <v>0</v>
      </c>
      <c r="G95" s="27">
        <f t="shared" si="16"/>
        <v>5356382.33</v>
      </c>
      <c r="H95" s="66">
        <v>0</v>
      </c>
      <c r="I95" s="27">
        <v>0</v>
      </c>
      <c r="J95" s="63"/>
      <c r="K95" s="66">
        <v>0</v>
      </c>
      <c r="L95" s="27">
        <v>0</v>
      </c>
    </row>
    <row r="96" spans="2:14" hidden="1" x14ac:dyDescent="0.35">
      <c r="B96" s="11">
        <v>18</v>
      </c>
      <c r="C96" s="17" t="s">
        <v>35</v>
      </c>
      <c r="D96" s="27"/>
      <c r="E96" s="27"/>
      <c r="F96" s="65">
        <f t="shared" si="14"/>
        <v>0</v>
      </c>
      <c r="G96" s="27">
        <f t="shared" si="16"/>
        <v>5356382.33</v>
      </c>
      <c r="H96" s="66">
        <v>0</v>
      </c>
      <c r="I96" s="27">
        <v>0</v>
      </c>
      <c r="J96" s="63"/>
      <c r="K96" s="66">
        <v>0</v>
      </c>
      <c r="L96" s="27">
        <v>0</v>
      </c>
    </row>
    <row r="97" spans="1:12" hidden="1" x14ac:dyDescent="0.35">
      <c r="B97" s="11">
        <v>19</v>
      </c>
      <c r="C97" s="17" t="s">
        <v>36</v>
      </c>
      <c r="D97" s="27"/>
      <c r="E97" s="27"/>
      <c r="F97" s="65">
        <f t="shared" si="14"/>
        <v>0</v>
      </c>
      <c r="G97" s="27">
        <f t="shared" si="16"/>
        <v>5356382.33</v>
      </c>
      <c r="H97" s="66">
        <v>0</v>
      </c>
      <c r="I97" s="27">
        <v>0</v>
      </c>
      <c r="J97" s="63"/>
      <c r="K97" s="66">
        <v>0</v>
      </c>
      <c r="L97" s="27">
        <v>0</v>
      </c>
    </row>
    <row r="98" spans="1:12" hidden="1" x14ac:dyDescent="0.35">
      <c r="B98" s="11">
        <v>20</v>
      </c>
      <c r="C98" s="17" t="s">
        <v>37</v>
      </c>
      <c r="D98" s="27"/>
      <c r="E98" s="27"/>
      <c r="F98" s="65">
        <f t="shared" si="14"/>
        <v>0</v>
      </c>
      <c r="G98" s="27">
        <f t="shared" si="16"/>
        <v>5356382.33</v>
      </c>
      <c r="H98" s="66">
        <v>0</v>
      </c>
      <c r="I98" s="27">
        <v>0</v>
      </c>
      <c r="J98" s="63"/>
      <c r="K98" s="66">
        <v>0</v>
      </c>
      <c r="L98" s="27">
        <v>0</v>
      </c>
    </row>
    <row r="99" spans="1:12" hidden="1" x14ac:dyDescent="0.35">
      <c r="B99" s="11">
        <v>21</v>
      </c>
      <c r="C99" s="17" t="s">
        <v>38</v>
      </c>
      <c r="D99" s="27"/>
      <c r="E99" s="27"/>
      <c r="F99" s="65">
        <f t="shared" si="14"/>
        <v>0</v>
      </c>
      <c r="G99" s="27">
        <f t="shared" si="16"/>
        <v>5356382.33</v>
      </c>
      <c r="H99" s="66">
        <v>0</v>
      </c>
      <c r="I99" s="27">
        <v>0</v>
      </c>
      <c r="J99" s="63"/>
      <c r="K99" s="66">
        <v>0</v>
      </c>
      <c r="L99" s="27">
        <v>0</v>
      </c>
    </row>
    <row r="100" spans="1:12" hidden="1" x14ac:dyDescent="0.35">
      <c r="B100" s="11">
        <v>22</v>
      </c>
      <c r="C100" s="17" t="s">
        <v>39</v>
      </c>
      <c r="D100" s="27"/>
      <c r="E100" s="27"/>
      <c r="F100" s="65">
        <f t="shared" si="14"/>
        <v>0</v>
      </c>
      <c r="G100" s="27">
        <f t="shared" si="16"/>
        <v>5356382.33</v>
      </c>
      <c r="H100" s="66">
        <v>0</v>
      </c>
      <c r="I100" s="27">
        <v>0</v>
      </c>
      <c r="J100" s="63"/>
      <c r="K100" s="66">
        <v>0</v>
      </c>
      <c r="L100" s="27">
        <v>0</v>
      </c>
    </row>
    <row r="101" spans="1:12" hidden="1" x14ac:dyDescent="0.35">
      <c r="B101" s="11">
        <v>23</v>
      </c>
      <c r="C101" s="17" t="s">
        <v>40</v>
      </c>
      <c r="D101" s="27"/>
      <c r="E101" s="27"/>
      <c r="F101" s="65">
        <f t="shared" si="14"/>
        <v>0</v>
      </c>
      <c r="G101" s="27">
        <f t="shared" si="16"/>
        <v>5356382.33</v>
      </c>
      <c r="H101" s="66">
        <v>0</v>
      </c>
      <c r="I101" s="27">
        <v>0</v>
      </c>
      <c r="J101" s="63"/>
      <c r="K101" s="66">
        <v>0</v>
      </c>
      <c r="L101" s="27">
        <v>0</v>
      </c>
    </row>
    <row r="102" spans="1:12" hidden="1" x14ac:dyDescent="0.35">
      <c r="B102" s="11">
        <v>24</v>
      </c>
      <c r="C102" s="17" t="s">
        <v>41</v>
      </c>
      <c r="D102" s="27"/>
      <c r="E102" s="27"/>
      <c r="F102" s="65">
        <f t="shared" si="14"/>
        <v>0</v>
      </c>
      <c r="G102" s="27">
        <f t="shared" si="16"/>
        <v>5356382.33</v>
      </c>
      <c r="H102" s="66">
        <v>0</v>
      </c>
      <c r="I102" s="27">
        <v>0</v>
      </c>
      <c r="J102" s="63"/>
      <c r="K102" s="66">
        <v>0</v>
      </c>
      <c r="L102" s="27">
        <v>0</v>
      </c>
    </row>
    <row r="103" spans="1:12" hidden="1" x14ac:dyDescent="0.35">
      <c r="B103" s="11">
        <v>25</v>
      </c>
      <c r="C103" s="19" t="s">
        <v>42</v>
      </c>
      <c r="D103" s="27"/>
      <c r="E103" s="27"/>
      <c r="F103" s="65">
        <f t="shared" si="14"/>
        <v>0</v>
      </c>
      <c r="G103" s="27">
        <f t="shared" si="16"/>
        <v>5356382.33</v>
      </c>
      <c r="H103" s="66">
        <v>0</v>
      </c>
      <c r="I103" s="27">
        <v>0</v>
      </c>
      <c r="J103" s="63"/>
      <c r="K103" s="66">
        <v>0</v>
      </c>
      <c r="L103" s="27">
        <v>0</v>
      </c>
    </row>
    <row r="104" spans="1:12" hidden="1" x14ac:dyDescent="0.35">
      <c r="B104" s="29">
        <v>26</v>
      </c>
      <c r="C104" s="30" t="s">
        <v>43</v>
      </c>
      <c r="D104" s="34"/>
      <c r="E104" s="34"/>
      <c r="F104" s="94">
        <f t="shared" si="14"/>
        <v>0</v>
      </c>
      <c r="G104" s="34">
        <f t="shared" si="16"/>
        <v>5356382.33</v>
      </c>
      <c r="H104" s="95">
        <v>0</v>
      </c>
      <c r="I104" s="34">
        <v>0</v>
      </c>
      <c r="J104" s="63"/>
      <c r="K104" s="66">
        <v>0</v>
      </c>
      <c r="L104" s="27">
        <v>0</v>
      </c>
    </row>
    <row r="105" spans="1:12" x14ac:dyDescent="0.35">
      <c r="B105" s="5"/>
      <c r="C105" s="5"/>
      <c r="D105" s="6"/>
      <c r="E105" s="6"/>
      <c r="F105" s="6"/>
      <c r="G105" s="6"/>
      <c r="H105" s="6"/>
      <c r="I105" s="6"/>
      <c r="J105" s="6"/>
    </row>
    <row r="106" spans="1:12" x14ac:dyDescent="0.35">
      <c r="B106" s="8" t="s">
        <v>44</v>
      </c>
      <c r="C106" s="5"/>
      <c r="D106" s="6"/>
      <c r="E106" s="6"/>
      <c r="F106" s="6"/>
      <c r="G106" s="6"/>
      <c r="H106" s="6"/>
      <c r="I106" s="6"/>
      <c r="J106" s="6"/>
    </row>
    <row r="107" spans="1:12" x14ac:dyDescent="0.35">
      <c r="B107" s="9" t="s">
        <v>45</v>
      </c>
      <c r="C107" s="5"/>
      <c r="D107" s="6"/>
      <c r="E107" s="6"/>
      <c r="F107" s="6"/>
      <c r="G107" s="6"/>
      <c r="H107" s="6"/>
      <c r="I107" s="6"/>
      <c r="J107" s="6"/>
    </row>
    <row r="108" spans="1:12" x14ac:dyDescent="0.35">
      <c r="B108" s="9" t="s">
        <v>46</v>
      </c>
      <c r="C108" s="5"/>
      <c r="D108" s="6"/>
      <c r="E108" s="6"/>
      <c r="F108" s="6"/>
      <c r="G108" s="6"/>
      <c r="H108" s="6"/>
      <c r="I108" s="6"/>
      <c r="J108" s="6"/>
    </row>
    <row r="109" spans="1:12" x14ac:dyDescent="0.35">
      <c r="B109" s="9" t="s">
        <v>47</v>
      </c>
      <c r="C109" s="5"/>
      <c r="D109" s="6"/>
      <c r="E109" s="6"/>
      <c r="F109" s="6"/>
      <c r="G109" s="6"/>
      <c r="H109" s="6"/>
      <c r="I109" s="6"/>
      <c r="J109" s="6"/>
    </row>
    <row r="112" spans="1:12" ht="18.5" x14ac:dyDescent="0.45">
      <c r="A112" s="3" cm="1">
        <f t="array" aca="1" ref="A112" ca="1">A112:L146</f>
        <v>0</v>
      </c>
      <c r="B112" s="10"/>
      <c r="C112" s="10"/>
      <c r="D112" s="138" t="s">
        <v>52</v>
      </c>
      <c r="E112" s="138"/>
      <c r="F112" s="138"/>
      <c r="G112" s="138"/>
      <c r="H112" s="138"/>
      <c r="I112" s="138"/>
      <c r="J112" s="60"/>
    </row>
    <row r="113" spans="2:14" s="38" customFormat="1" ht="21" customHeight="1" x14ac:dyDescent="0.5">
      <c r="B113" s="28"/>
      <c r="C113" s="28"/>
      <c r="D113" s="139" t="s">
        <v>49</v>
      </c>
      <c r="E113" s="139"/>
      <c r="F113" s="139"/>
      <c r="G113" s="139"/>
      <c r="H113" s="139"/>
      <c r="I113" s="139"/>
      <c r="J113" s="91"/>
      <c r="K113" s="96"/>
      <c r="L113" s="96"/>
    </row>
    <row r="114" spans="2:14" ht="15.9" customHeight="1" x14ac:dyDescent="0.4">
      <c r="B114" s="124" t="s">
        <v>6</v>
      </c>
      <c r="C114" s="124"/>
      <c r="D114" s="124"/>
      <c r="E114" s="124"/>
      <c r="F114" s="124"/>
      <c r="G114" s="124"/>
      <c r="H114" s="124"/>
      <c r="I114" s="124"/>
      <c r="J114" s="124"/>
      <c r="K114" s="124"/>
      <c r="L114" s="124"/>
    </row>
    <row r="115" spans="2:14" ht="14.4" customHeight="1" x14ac:dyDescent="0.35">
      <c r="B115" s="15"/>
      <c r="C115" s="16"/>
      <c r="D115" s="114" t="s">
        <v>7</v>
      </c>
      <c r="E115" s="115"/>
      <c r="F115" s="115"/>
      <c r="G115" s="116"/>
      <c r="H115" s="117" t="s">
        <v>8</v>
      </c>
      <c r="I115" s="118"/>
      <c r="J115" s="92"/>
      <c r="K115" s="117" t="s">
        <v>9</v>
      </c>
      <c r="L115" s="118"/>
    </row>
    <row r="116" spans="2:14" ht="14.4" customHeight="1" x14ac:dyDescent="0.35">
      <c r="B116" s="13"/>
      <c r="C116" s="14"/>
      <c r="D116" s="121" t="s">
        <v>10</v>
      </c>
      <c r="E116" s="122"/>
      <c r="F116" s="122"/>
      <c r="G116" s="123"/>
      <c r="H116" s="119"/>
      <c r="I116" s="120"/>
      <c r="J116" s="92"/>
      <c r="K116" s="119"/>
      <c r="L116" s="120"/>
    </row>
    <row r="117" spans="2:14" ht="14.4" customHeight="1" x14ac:dyDescent="0.35">
      <c r="B117" s="128" t="s">
        <v>11</v>
      </c>
      <c r="C117" s="130" t="s">
        <v>12</v>
      </c>
      <c r="D117" s="80" t="s">
        <v>13</v>
      </c>
      <c r="E117" s="80" t="s">
        <v>14</v>
      </c>
      <c r="F117" s="80" t="s">
        <v>15</v>
      </c>
      <c r="G117" s="80" t="s">
        <v>16</v>
      </c>
      <c r="H117" s="132" t="s">
        <v>17</v>
      </c>
      <c r="I117" s="134" t="s">
        <v>18</v>
      </c>
      <c r="J117" s="93"/>
      <c r="K117" s="132" t="s">
        <v>19</v>
      </c>
      <c r="L117" s="134" t="s">
        <v>20</v>
      </c>
    </row>
    <row r="118" spans="2:14" ht="40.65" customHeight="1" x14ac:dyDescent="0.35">
      <c r="B118" s="129"/>
      <c r="C118" s="131"/>
      <c r="D118" s="125" t="s">
        <v>21</v>
      </c>
      <c r="E118" s="126"/>
      <c r="F118" s="126"/>
      <c r="G118" s="127"/>
      <c r="H118" s="133"/>
      <c r="I118" s="135"/>
      <c r="J118" s="93"/>
      <c r="K118" s="133"/>
      <c r="L118" s="135"/>
    </row>
    <row r="119" spans="2:14" x14ac:dyDescent="0.35">
      <c r="B119" s="43">
        <v>4</v>
      </c>
      <c r="C119" s="41" t="s">
        <v>22</v>
      </c>
      <c r="D119" s="22">
        <v>195414.01</v>
      </c>
      <c r="E119" s="22">
        <v>0</v>
      </c>
      <c r="F119" s="61">
        <f>+D119+E119</f>
        <v>195414.01</v>
      </c>
      <c r="G119" s="22">
        <f>+F119</f>
        <v>195414.01</v>
      </c>
      <c r="H119" s="62">
        <v>0</v>
      </c>
      <c r="I119" s="22">
        <v>0</v>
      </c>
      <c r="J119" s="63"/>
      <c r="K119" s="64">
        <f t="shared" ref="K119:K123" si="17">((G119-L119)/L119)*100</f>
        <v>25.491162497863151</v>
      </c>
      <c r="L119" s="24">
        <f>467158.02/3</f>
        <v>155719.34</v>
      </c>
    </row>
    <row r="120" spans="2:14" x14ac:dyDescent="0.35">
      <c r="B120" s="43">
        <v>5</v>
      </c>
      <c r="C120" s="41" t="s">
        <v>23</v>
      </c>
      <c r="D120" s="27">
        <v>213874.7</v>
      </c>
      <c r="E120" s="27">
        <v>0</v>
      </c>
      <c r="F120" s="65">
        <f>+E120+D120</f>
        <v>213874.7</v>
      </c>
      <c r="G120" s="27">
        <f>+G119+F120</f>
        <v>409288.71</v>
      </c>
      <c r="H120" s="66">
        <f t="shared" ref="H120:H123" si="18">((G120-I120)/I120)*100</f>
        <v>-30.407918107260794</v>
      </c>
      <c r="I120" s="27">
        <f>+I119+588125.4</f>
        <v>588125.4</v>
      </c>
      <c r="J120" s="63"/>
      <c r="K120" s="66">
        <f t="shared" si="17"/>
        <v>-25.457529101050547</v>
      </c>
      <c r="L120" s="27">
        <f>1647203.42/3</f>
        <v>549067.80666666664</v>
      </c>
    </row>
    <row r="121" spans="2:14" x14ac:dyDescent="0.35">
      <c r="B121" s="43">
        <v>6</v>
      </c>
      <c r="C121" s="41" t="s">
        <v>24</v>
      </c>
      <c r="D121" s="27">
        <v>245270.22</v>
      </c>
      <c r="E121" s="27">
        <v>0</v>
      </c>
      <c r="F121" s="65">
        <f>+E121+D121</f>
        <v>245270.22</v>
      </c>
      <c r="G121" s="27">
        <f t="shared" ref="G121" si="19">+G120+F121</f>
        <v>654558.93000000005</v>
      </c>
      <c r="H121" s="66">
        <f t="shared" si="18"/>
        <v>-22.412363764613357</v>
      </c>
      <c r="I121" s="27">
        <f>+I120+255512.79</f>
        <v>843638.19000000006</v>
      </c>
      <c r="J121" s="63"/>
      <c r="K121" s="66">
        <f t="shared" si="17"/>
        <v>-16.304043907612726</v>
      </c>
      <c r="L121" s="27">
        <f>2346202.71/3</f>
        <v>782067.57</v>
      </c>
    </row>
    <row r="122" spans="2:14" x14ac:dyDescent="0.35">
      <c r="B122" s="43">
        <v>7</v>
      </c>
      <c r="C122" s="41" t="s">
        <v>25</v>
      </c>
      <c r="D122" s="27">
        <v>199584.66</v>
      </c>
      <c r="E122" s="27">
        <f>+Thompsons!E123+Flame!E123+'SA Sultana'!E123+'OR Sultana'!E123+Goldens!E123+Currants!E123+Other!E123</f>
        <v>0</v>
      </c>
      <c r="F122" s="65">
        <f t="shared" ref="F122:F141" si="20">+E122+D122</f>
        <v>199584.66</v>
      </c>
      <c r="G122" s="27">
        <f>+G121+F122</f>
        <v>854143.59000000008</v>
      </c>
      <c r="H122" s="66">
        <f t="shared" si="18"/>
        <v>-17.730536053607395</v>
      </c>
      <c r="I122" s="27">
        <f>+I121+194588.57</f>
        <v>1038226.76</v>
      </c>
      <c r="J122" s="63"/>
      <c r="K122" s="66">
        <f t="shared" si="17"/>
        <v>-11.575121088073416</v>
      </c>
      <c r="L122" s="27">
        <f>2897861.78/3</f>
        <v>965953.92666666664</v>
      </c>
      <c r="N122" s="42"/>
    </row>
    <row r="123" spans="2:14" x14ac:dyDescent="0.35">
      <c r="B123" s="43">
        <v>8</v>
      </c>
      <c r="C123" s="41" t="s">
        <v>26</v>
      </c>
      <c r="D123" s="27">
        <v>326755.93</v>
      </c>
      <c r="E123" s="27">
        <v>0</v>
      </c>
      <c r="F123" s="65">
        <f t="shared" si="20"/>
        <v>326755.93</v>
      </c>
      <c r="G123" s="27">
        <f t="shared" ref="G123" si="21">+G122+F123</f>
        <v>1180899.52</v>
      </c>
      <c r="H123" s="66">
        <f t="shared" si="18"/>
        <v>-2.9438524739382803</v>
      </c>
      <c r="I123" s="27">
        <v>1216717.8999999999</v>
      </c>
      <c r="J123" s="63"/>
      <c r="K123" s="66">
        <f t="shared" si="17"/>
        <v>-7.6929448112940833</v>
      </c>
      <c r="L123" s="27">
        <f>3837949.93/3</f>
        <v>1279316.6433333333</v>
      </c>
    </row>
    <row r="124" spans="2:14" x14ac:dyDescent="0.35">
      <c r="B124" s="43">
        <v>9</v>
      </c>
      <c r="C124" s="41" t="s">
        <v>27</v>
      </c>
      <c r="D124" s="27">
        <v>288384.67</v>
      </c>
      <c r="E124" s="27">
        <v>0</v>
      </c>
      <c r="F124" s="65">
        <f t="shared" si="20"/>
        <v>288384.67</v>
      </c>
      <c r="G124" s="70">
        <f t="shared" ref="G124:G141" si="22">+G123+F124</f>
        <v>1469284.19</v>
      </c>
      <c r="H124" s="66">
        <f>((G124-I124)/I124)*100</f>
        <v>-0.81890056625639529</v>
      </c>
      <c r="I124" s="27">
        <v>1481415.51</v>
      </c>
      <c r="J124" s="63"/>
      <c r="K124" s="66">
        <f>((G124-L124)/L124)*100</f>
        <v>-1.868533481082836</v>
      </c>
      <c r="L124" s="27">
        <f>4491783.04/3</f>
        <v>1497261.0133333334</v>
      </c>
    </row>
    <row r="125" spans="2:14" hidden="1" x14ac:dyDescent="0.35">
      <c r="B125" s="11">
        <v>10</v>
      </c>
      <c r="C125" s="17" t="s">
        <v>50</v>
      </c>
      <c r="D125" s="27"/>
      <c r="E125" s="27"/>
      <c r="F125" s="65">
        <f t="shared" si="20"/>
        <v>0</v>
      </c>
      <c r="G125" s="27">
        <f t="shared" si="22"/>
        <v>1469284.19</v>
      </c>
      <c r="H125" s="66">
        <v>0</v>
      </c>
      <c r="I125" s="27">
        <v>0</v>
      </c>
      <c r="J125" s="63"/>
      <c r="K125" s="66">
        <v>0</v>
      </c>
      <c r="L125" s="27">
        <v>0</v>
      </c>
    </row>
    <row r="126" spans="2:14" hidden="1" x14ac:dyDescent="0.35">
      <c r="B126" s="11">
        <v>11</v>
      </c>
      <c r="C126" s="17" t="s">
        <v>28</v>
      </c>
      <c r="D126" s="27"/>
      <c r="E126" s="27"/>
      <c r="F126" s="65">
        <f t="shared" si="20"/>
        <v>0</v>
      </c>
      <c r="G126" s="27">
        <f t="shared" si="22"/>
        <v>1469284.19</v>
      </c>
      <c r="H126" s="66">
        <v>0</v>
      </c>
      <c r="I126" s="27">
        <v>0</v>
      </c>
      <c r="J126" s="63"/>
      <c r="K126" s="66">
        <v>0</v>
      </c>
      <c r="L126" s="27">
        <v>0</v>
      </c>
    </row>
    <row r="127" spans="2:14" hidden="1" x14ac:dyDescent="0.35">
      <c r="B127" s="11">
        <v>12</v>
      </c>
      <c r="C127" s="17" t="s">
        <v>29</v>
      </c>
      <c r="D127" s="27"/>
      <c r="E127" s="27"/>
      <c r="F127" s="65">
        <f t="shared" si="20"/>
        <v>0</v>
      </c>
      <c r="G127" s="27">
        <f t="shared" si="22"/>
        <v>1469284.19</v>
      </c>
      <c r="H127" s="66">
        <v>0</v>
      </c>
      <c r="I127" s="27">
        <v>0</v>
      </c>
      <c r="J127" s="63"/>
      <c r="K127" s="66">
        <v>0</v>
      </c>
      <c r="L127" s="27">
        <v>0</v>
      </c>
    </row>
    <row r="128" spans="2:14" hidden="1" x14ac:dyDescent="0.35">
      <c r="B128" s="11">
        <v>13</v>
      </c>
      <c r="C128" s="17" t="s">
        <v>30</v>
      </c>
      <c r="D128" s="27"/>
      <c r="E128" s="27"/>
      <c r="F128" s="65">
        <f t="shared" si="20"/>
        <v>0</v>
      </c>
      <c r="G128" s="27">
        <f t="shared" si="22"/>
        <v>1469284.19</v>
      </c>
      <c r="H128" s="66">
        <v>0</v>
      </c>
      <c r="I128" s="27">
        <v>0</v>
      </c>
      <c r="J128" s="63"/>
      <c r="K128" s="66">
        <v>0</v>
      </c>
      <c r="L128" s="27">
        <v>0</v>
      </c>
    </row>
    <row r="129" spans="2:12" hidden="1" x14ac:dyDescent="0.35">
      <c r="B129" s="11">
        <v>14</v>
      </c>
      <c r="C129" s="18" t="s">
        <v>31</v>
      </c>
      <c r="D129" s="27"/>
      <c r="E129" s="27"/>
      <c r="F129" s="65">
        <f t="shared" si="20"/>
        <v>0</v>
      </c>
      <c r="G129" s="27">
        <f t="shared" si="22"/>
        <v>1469284.19</v>
      </c>
      <c r="H129" s="66">
        <v>0</v>
      </c>
      <c r="I129" s="27">
        <v>0</v>
      </c>
      <c r="J129" s="63"/>
      <c r="K129" s="66">
        <v>0</v>
      </c>
      <c r="L129" s="27">
        <v>0</v>
      </c>
    </row>
    <row r="130" spans="2:12" hidden="1" x14ac:dyDescent="0.35">
      <c r="B130" s="11">
        <v>15</v>
      </c>
      <c r="C130" s="17" t="s">
        <v>32</v>
      </c>
      <c r="D130" s="27"/>
      <c r="E130" s="27"/>
      <c r="F130" s="65">
        <f t="shared" si="20"/>
        <v>0</v>
      </c>
      <c r="G130" s="27">
        <f t="shared" si="22"/>
        <v>1469284.19</v>
      </c>
      <c r="H130" s="66">
        <v>0</v>
      </c>
      <c r="I130" s="27">
        <v>0</v>
      </c>
      <c r="J130" s="63"/>
      <c r="K130" s="66">
        <v>0</v>
      </c>
      <c r="L130" s="27">
        <v>0</v>
      </c>
    </row>
    <row r="131" spans="2:12" hidden="1" x14ac:dyDescent="0.35">
      <c r="B131" s="11">
        <v>16</v>
      </c>
      <c r="C131" s="17" t="s">
        <v>33</v>
      </c>
      <c r="D131" s="27"/>
      <c r="E131" s="27"/>
      <c r="F131" s="65">
        <f t="shared" si="20"/>
        <v>0</v>
      </c>
      <c r="G131" s="27">
        <f t="shared" si="22"/>
        <v>1469284.19</v>
      </c>
      <c r="H131" s="66">
        <v>0</v>
      </c>
      <c r="I131" s="27">
        <v>0</v>
      </c>
      <c r="J131" s="63"/>
      <c r="K131" s="66">
        <v>0</v>
      </c>
      <c r="L131" s="27">
        <v>0</v>
      </c>
    </row>
    <row r="132" spans="2:12" hidden="1" x14ac:dyDescent="0.35">
      <c r="B132" s="11">
        <v>17</v>
      </c>
      <c r="C132" s="17" t="s">
        <v>34</v>
      </c>
      <c r="D132" s="27"/>
      <c r="E132" s="27"/>
      <c r="F132" s="65">
        <f t="shared" si="20"/>
        <v>0</v>
      </c>
      <c r="G132" s="27">
        <f t="shared" si="22"/>
        <v>1469284.19</v>
      </c>
      <c r="H132" s="66">
        <v>0</v>
      </c>
      <c r="I132" s="27">
        <v>0</v>
      </c>
      <c r="J132" s="63"/>
      <c r="K132" s="66">
        <v>0</v>
      </c>
      <c r="L132" s="27">
        <v>0</v>
      </c>
    </row>
    <row r="133" spans="2:12" hidden="1" x14ac:dyDescent="0.35">
      <c r="B133" s="11">
        <v>18</v>
      </c>
      <c r="C133" s="17" t="s">
        <v>35</v>
      </c>
      <c r="D133" s="27"/>
      <c r="E133" s="27"/>
      <c r="F133" s="65">
        <f t="shared" si="20"/>
        <v>0</v>
      </c>
      <c r="G133" s="27">
        <f t="shared" si="22"/>
        <v>1469284.19</v>
      </c>
      <c r="H133" s="66">
        <v>0</v>
      </c>
      <c r="I133" s="27">
        <v>0</v>
      </c>
      <c r="J133" s="63"/>
      <c r="K133" s="66">
        <v>0</v>
      </c>
      <c r="L133" s="27">
        <v>0</v>
      </c>
    </row>
    <row r="134" spans="2:12" hidden="1" x14ac:dyDescent="0.35">
      <c r="B134" s="11">
        <v>19</v>
      </c>
      <c r="C134" s="17" t="s">
        <v>36</v>
      </c>
      <c r="D134" s="27"/>
      <c r="E134" s="27"/>
      <c r="F134" s="65">
        <f t="shared" si="20"/>
        <v>0</v>
      </c>
      <c r="G134" s="27">
        <f t="shared" si="22"/>
        <v>1469284.19</v>
      </c>
      <c r="H134" s="66">
        <v>0</v>
      </c>
      <c r="I134" s="27">
        <v>0</v>
      </c>
      <c r="J134" s="63"/>
      <c r="K134" s="66">
        <v>0</v>
      </c>
      <c r="L134" s="27">
        <v>0</v>
      </c>
    </row>
    <row r="135" spans="2:12" hidden="1" x14ac:dyDescent="0.35">
      <c r="B135" s="11">
        <v>20</v>
      </c>
      <c r="C135" s="17" t="s">
        <v>37</v>
      </c>
      <c r="D135" s="27"/>
      <c r="E135" s="27"/>
      <c r="F135" s="65">
        <f t="shared" si="20"/>
        <v>0</v>
      </c>
      <c r="G135" s="27">
        <f t="shared" si="22"/>
        <v>1469284.19</v>
      </c>
      <c r="H135" s="66">
        <v>0</v>
      </c>
      <c r="I135" s="27">
        <v>0</v>
      </c>
      <c r="J135" s="63"/>
      <c r="K135" s="66">
        <v>0</v>
      </c>
      <c r="L135" s="27">
        <v>0</v>
      </c>
    </row>
    <row r="136" spans="2:12" hidden="1" x14ac:dyDescent="0.35">
      <c r="B136" s="11">
        <v>21</v>
      </c>
      <c r="C136" s="17" t="s">
        <v>38</v>
      </c>
      <c r="D136" s="27"/>
      <c r="E136" s="27"/>
      <c r="F136" s="65">
        <f t="shared" si="20"/>
        <v>0</v>
      </c>
      <c r="G136" s="27">
        <f t="shared" si="22"/>
        <v>1469284.19</v>
      </c>
      <c r="H136" s="66">
        <v>0</v>
      </c>
      <c r="I136" s="27">
        <v>0</v>
      </c>
      <c r="J136" s="63"/>
      <c r="K136" s="66">
        <v>0</v>
      </c>
      <c r="L136" s="27">
        <v>0</v>
      </c>
    </row>
    <row r="137" spans="2:12" hidden="1" x14ac:dyDescent="0.35">
      <c r="B137" s="11">
        <v>22</v>
      </c>
      <c r="C137" s="17" t="s">
        <v>39</v>
      </c>
      <c r="D137" s="27"/>
      <c r="E137" s="27"/>
      <c r="F137" s="65">
        <f t="shared" si="20"/>
        <v>0</v>
      </c>
      <c r="G137" s="27">
        <f t="shared" si="22"/>
        <v>1469284.19</v>
      </c>
      <c r="H137" s="66">
        <v>0</v>
      </c>
      <c r="I137" s="27">
        <v>0</v>
      </c>
      <c r="J137" s="63"/>
      <c r="K137" s="66">
        <v>0</v>
      </c>
      <c r="L137" s="27">
        <v>0</v>
      </c>
    </row>
    <row r="138" spans="2:12" hidden="1" x14ac:dyDescent="0.35">
      <c r="B138" s="11">
        <v>23</v>
      </c>
      <c r="C138" s="17" t="s">
        <v>40</v>
      </c>
      <c r="D138" s="27"/>
      <c r="E138" s="27"/>
      <c r="F138" s="65">
        <f t="shared" si="20"/>
        <v>0</v>
      </c>
      <c r="G138" s="27">
        <f t="shared" si="22"/>
        <v>1469284.19</v>
      </c>
      <c r="H138" s="66">
        <v>0</v>
      </c>
      <c r="I138" s="27">
        <v>0</v>
      </c>
      <c r="J138" s="63"/>
      <c r="K138" s="66">
        <v>0</v>
      </c>
      <c r="L138" s="27">
        <v>0</v>
      </c>
    </row>
    <row r="139" spans="2:12" hidden="1" x14ac:dyDescent="0.35">
      <c r="B139" s="11">
        <v>24</v>
      </c>
      <c r="C139" s="17" t="s">
        <v>41</v>
      </c>
      <c r="D139" s="27"/>
      <c r="E139" s="27"/>
      <c r="F139" s="65">
        <f t="shared" si="20"/>
        <v>0</v>
      </c>
      <c r="G139" s="27">
        <f t="shared" si="22"/>
        <v>1469284.19</v>
      </c>
      <c r="H139" s="66">
        <v>0</v>
      </c>
      <c r="I139" s="27">
        <v>0</v>
      </c>
      <c r="J139" s="63"/>
      <c r="K139" s="66">
        <v>0</v>
      </c>
      <c r="L139" s="27">
        <v>0</v>
      </c>
    </row>
    <row r="140" spans="2:12" hidden="1" x14ac:dyDescent="0.35">
      <c r="B140" s="11">
        <v>25</v>
      </c>
      <c r="C140" s="19" t="s">
        <v>42</v>
      </c>
      <c r="D140" s="27"/>
      <c r="E140" s="27"/>
      <c r="F140" s="65">
        <f t="shared" si="20"/>
        <v>0</v>
      </c>
      <c r="G140" s="27">
        <f t="shared" si="22"/>
        <v>1469284.19</v>
      </c>
      <c r="H140" s="66">
        <v>0</v>
      </c>
      <c r="I140" s="27">
        <v>0</v>
      </c>
      <c r="J140" s="63"/>
      <c r="K140" s="66">
        <v>0</v>
      </c>
      <c r="L140" s="27">
        <v>0</v>
      </c>
    </row>
    <row r="141" spans="2:12" hidden="1" x14ac:dyDescent="0.35">
      <c r="B141" s="29">
        <v>26</v>
      </c>
      <c r="C141" s="30" t="s">
        <v>43</v>
      </c>
      <c r="D141" s="34"/>
      <c r="E141" s="34"/>
      <c r="F141" s="94">
        <f t="shared" si="20"/>
        <v>0</v>
      </c>
      <c r="G141" s="34">
        <f t="shared" si="22"/>
        <v>1469284.19</v>
      </c>
      <c r="H141" s="95">
        <v>0</v>
      </c>
      <c r="I141" s="34">
        <v>0</v>
      </c>
      <c r="J141" s="63"/>
      <c r="K141" s="66">
        <v>0</v>
      </c>
      <c r="L141" s="27">
        <v>0</v>
      </c>
    </row>
    <row r="142" spans="2:12" x14ac:dyDescent="0.35">
      <c r="B142" s="5"/>
      <c r="C142" s="5"/>
      <c r="D142" s="6"/>
      <c r="E142" s="6"/>
      <c r="F142" s="6"/>
      <c r="G142" s="6"/>
      <c r="H142" s="6"/>
      <c r="I142" s="6"/>
      <c r="J142" s="6"/>
    </row>
    <row r="143" spans="2:12" x14ac:dyDescent="0.35">
      <c r="B143" s="8" t="s">
        <v>44</v>
      </c>
      <c r="C143" s="5"/>
      <c r="D143" s="6"/>
      <c r="E143" s="6"/>
      <c r="F143" s="6"/>
      <c r="G143" s="6"/>
      <c r="H143" s="6"/>
      <c r="I143" s="6"/>
      <c r="J143" s="6"/>
    </row>
    <row r="144" spans="2:12" x14ac:dyDescent="0.35">
      <c r="B144" s="9" t="s">
        <v>45</v>
      </c>
      <c r="C144" s="5"/>
      <c r="D144" s="6"/>
      <c r="E144" s="6"/>
      <c r="F144" s="6"/>
      <c r="G144" s="6"/>
      <c r="H144" s="6"/>
      <c r="I144" s="6"/>
      <c r="J144" s="6"/>
    </row>
    <row r="145" spans="2:10" x14ac:dyDescent="0.35">
      <c r="B145" s="9" t="s">
        <v>46</v>
      </c>
      <c r="C145" s="5"/>
      <c r="D145" s="6"/>
      <c r="E145" s="6"/>
      <c r="F145" s="6"/>
      <c r="G145" s="6"/>
      <c r="H145" s="6"/>
      <c r="I145" s="6"/>
      <c r="J145" s="6"/>
    </row>
    <row r="146" spans="2:10" x14ac:dyDescent="0.35">
      <c r="B146" s="9" t="s">
        <v>47</v>
      </c>
      <c r="C146" s="5"/>
      <c r="D146" s="6"/>
      <c r="E146" s="6"/>
      <c r="F146" s="6"/>
      <c r="G146" s="6"/>
      <c r="H146" s="6"/>
      <c r="I146" s="6"/>
      <c r="J146" s="6"/>
    </row>
  </sheetData>
  <sheetProtection formatCells="0" formatColumns="0" formatRows="0" insertColumns="0" insertRows="0" insertHyperlinks="0" deleteColumns="0" deleteRows="0" sort="0" autoFilter="0" pivotTables="0"/>
  <mergeCells count="55">
    <mergeCell ref="K117:K118"/>
    <mergeCell ref="L117:L118"/>
    <mergeCell ref="B40:L40"/>
    <mergeCell ref="K41:L42"/>
    <mergeCell ref="K43:K44"/>
    <mergeCell ref="L43:L44"/>
    <mergeCell ref="K78:L79"/>
    <mergeCell ref="K80:K81"/>
    <mergeCell ref="L80:L81"/>
    <mergeCell ref="B117:B118"/>
    <mergeCell ref="C117:C118"/>
    <mergeCell ref="H117:H118"/>
    <mergeCell ref="I117:I118"/>
    <mergeCell ref="D118:G118"/>
    <mergeCell ref="D112:I112"/>
    <mergeCell ref="D113:I113"/>
    <mergeCell ref="D115:G115"/>
    <mergeCell ref="H115:I116"/>
    <mergeCell ref="D116:G116"/>
    <mergeCell ref="B114:L114"/>
    <mergeCell ref="K115:L116"/>
    <mergeCell ref="D78:G78"/>
    <mergeCell ref="H78:I79"/>
    <mergeCell ref="D79:G79"/>
    <mergeCell ref="B80:B81"/>
    <mergeCell ref="C80:C81"/>
    <mergeCell ref="H80:H81"/>
    <mergeCell ref="I80:I81"/>
    <mergeCell ref="D81:G81"/>
    <mergeCell ref="I43:I44"/>
    <mergeCell ref="D44:G44"/>
    <mergeCell ref="D75:I75"/>
    <mergeCell ref="D76:I76"/>
    <mergeCell ref="B77:L77"/>
    <mergeCell ref="D6:G6"/>
    <mergeCell ref="D5:G5"/>
    <mergeCell ref="B43:B44"/>
    <mergeCell ref="C43:C44"/>
    <mergeCell ref="H43:H44"/>
    <mergeCell ref="D3:I3"/>
    <mergeCell ref="D38:I38"/>
    <mergeCell ref="D39:I39"/>
    <mergeCell ref="D41:G41"/>
    <mergeCell ref="H41:I42"/>
    <mergeCell ref="D42:G42"/>
    <mergeCell ref="B4:L4"/>
    <mergeCell ref="D8:G8"/>
    <mergeCell ref="B7:B8"/>
    <mergeCell ref="C7:C8"/>
    <mergeCell ref="H7:H8"/>
    <mergeCell ref="I7:I8"/>
    <mergeCell ref="K7:K8"/>
    <mergeCell ref="L7:L8"/>
    <mergeCell ref="H5:I6"/>
    <mergeCell ref="K5:L6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5F266-2F96-4BE0-A5C9-92B4AAFCB5DA}">
  <dimension ref="B3:L147"/>
  <sheetViews>
    <sheetView workbookViewId="0">
      <selection activeCell="F14" sqref="F14"/>
    </sheetView>
  </sheetViews>
  <sheetFormatPr defaultColWidth="9" defaultRowHeight="14.5" x14ac:dyDescent="0.35"/>
  <cols>
    <col min="1" max="1" width="2" style="3" customWidth="1"/>
    <col min="2" max="2" width="6.09765625" style="3" customWidth="1"/>
    <col min="3" max="3" width="25.59765625" style="3" customWidth="1"/>
    <col min="4" max="4" width="18.59765625" style="42" customWidth="1"/>
    <col min="5" max="5" width="13" style="42" customWidth="1"/>
    <col min="6" max="6" width="14.8984375" style="42" customWidth="1"/>
    <col min="7" max="7" width="14.59765625" style="42" customWidth="1"/>
    <col min="8" max="8" width="13" style="42" customWidth="1"/>
    <col min="9" max="9" width="17.09765625" style="42" customWidth="1"/>
    <col min="10" max="11" width="9" style="3"/>
    <col min="12" max="12" width="15.3984375" style="3" bestFit="1" customWidth="1"/>
    <col min="13" max="16384" width="9" style="3"/>
  </cols>
  <sheetData>
    <row r="3" spans="2:12" s="38" customFormat="1" ht="18.5" x14ac:dyDescent="0.45">
      <c r="B3" s="28"/>
      <c r="C3" s="28"/>
      <c r="D3" s="140" t="s">
        <v>53</v>
      </c>
      <c r="E3" s="140"/>
      <c r="F3" s="140"/>
      <c r="G3" s="140"/>
      <c r="H3" s="140"/>
      <c r="I3" s="140"/>
      <c r="J3" s="28"/>
      <c r="K3" s="39"/>
      <c r="L3" s="2"/>
    </row>
    <row r="4" spans="2:12" ht="15.9" customHeight="1" x14ac:dyDescent="0.4">
      <c r="B4" s="124" t="s">
        <v>6</v>
      </c>
      <c r="C4" s="124"/>
      <c r="D4" s="124"/>
      <c r="E4" s="124"/>
      <c r="F4" s="124"/>
      <c r="G4" s="124"/>
      <c r="H4" s="124"/>
      <c r="I4" s="124"/>
      <c r="J4" s="124"/>
      <c r="K4" s="1"/>
      <c r="L4" s="2"/>
    </row>
    <row r="5" spans="2:12" ht="14.4" customHeight="1" x14ac:dyDescent="0.35">
      <c r="B5" s="15"/>
      <c r="C5" s="16"/>
      <c r="D5" s="114" t="s">
        <v>7</v>
      </c>
      <c r="E5" s="115"/>
      <c r="F5" s="115"/>
      <c r="G5" s="116"/>
      <c r="H5" s="117" t="s">
        <v>8</v>
      </c>
      <c r="I5" s="118"/>
      <c r="J5" s="4"/>
      <c r="K5" s="1"/>
      <c r="L5" s="2"/>
    </row>
    <row r="6" spans="2:12" ht="14.4" customHeight="1" x14ac:dyDescent="0.35">
      <c r="B6" s="13"/>
      <c r="C6" s="14"/>
      <c r="D6" s="121" t="s">
        <v>10</v>
      </c>
      <c r="E6" s="122"/>
      <c r="F6" s="122"/>
      <c r="G6" s="123"/>
      <c r="H6" s="119"/>
      <c r="I6" s="120"/>
      <c r="J6" s="4"/>
      <c r="K6" s="1"/>
      <c r="L6" s="2"/>
    </row>
    <row r="7" spans="2:12" ht="18.899999999999999" customHeight="1" x14ac:dyDescent="0.35">
      <c r="B7" s="128" t="s">
        <v>11</v>
      </c>
      <c r="C7" s="130" t="s">
        <v>12</v>
      </c>
      <c r="D7" s="80" t="s">
        <v>13</v>
      </c>
      <c r="E7" s="80" t="s">
        <v>14</v>
      </c>
      <c r="F7" s="80" t="s">
        <v>15</v>
      </c>
      <c r="G7" s="80" t="s">
        <v>16</v>
      </c>
      <c r="H7" s="132" t="s">
        <v>17</v>
      </c>
      <c r="I7" s="134" t="s">
        <v>18</v>
      </c>
      <c r="J7" s="21"/>
      <c r="K7" s="1"/>
      <c r="L7" s="2"/>
    </row>
    <row r="8" spans="2:12" ht="31.4" customHeight="1" x14ac:dyDescent="0.35">
      <c r="B8" s="129"/>
      <c r="C8" s="131"/>
      <c r="D8" s="141" t="s">
        <v>21</v>
      </c>
      <c r="E8" s="142"/>
      <c r="F8" s="142"/>
      <c r="G8" s="143"/>
      <c r="H8" s="133"/>
      <c r="I8" s="135"/>
      <c r="J8" s="21"/>
      <c r="K8" s="1"/>
    </row>
    <row r="9" spans="2:12" x14ac:dyDescent="0.35">
      <c r="B9" s="43">
        <v>4</v>
      </c>
      <c r="C9" s="41" t="s">
        <v>22</v>
      </c>
      <c r="D9" s="22">
        <v>696917.44</v>
      </c>
      <c r="E9" s="22">
        <v>0</v>
      </c>
      <c r="F9" s="61">
        <f>+D9+E9</f>
        <v>696917.44</v>
      </c>
      <c r="G9" s="22">
        <f>+F9</f>
        <v>696917.44</v>
      </c>
      <c r="H9" s="62">
        <f t="shared" ref="H9:H12" si="0">((G9-I9)/I9)*100</f>
        <v>404.17235043044195</v>
      </c>
      <c r="I9" s="22">
        <v>138230</v>
      </c>
      <c r="J9" s="23"/>
      <c r="K9" s="1"/>
    </row>
    <row r="10" spans="2:12" x14ac:dyDescent="0.35">
      <c r="B10" s="43">
        <v>5</v>
      </c>
      <c r="C10" s="41" t="s">
        <v>23</v>
      </c>
      <c r="D10" s="27">
        <v>4382751.42</v>
      </c>
      <c r="E10" s="27">
        <v>0</v>
      </c>
      <c r="F10" s="65">
        <f>+E10+D10</f>
        <v>4382751.42</v>
      </c>
      <c r="G10" s="27">
        <f>+G9+F10</f>
        <v>5079668.8599999994</v>
      </c>
      <c r="H10" s="66">
        <f t="shared" si="0"/>
        <v>129.39980280898408</v>
      </c>
      <c r="I10" s="27">
        <f>+I9+2076100.09</f>
        <v>2214330.09</v>
      </c>
      <c r="J10" s="23"/>
      <c r="K10" s="1"/>
    </row>
    <row r="11" spans="2:12" x14ac:dyDescent="0.35">
      <c r="B11" s="43">
        <v>6</v>
      </c>
      <c r="C11" s="41" t="s">
        <v>24</v>
      </c>
      <c r="D11" s="27">
        <f>6155544.29-79989</f>
        <v>6075555.29</v>
      </c>
      <c r="E11" s="27">
        <f>+E48</f>
        <v>79989</v>
      </c>
      <c r="F11" s="65">
        <f>+E11+D11</f>
        <v>6155544.29</v>
      </c>
      <c r="G11" s="27">
        <f t="shared" ref="G11:G31" si="1">+G10+F11</f>
        <v>11235213.149999999</v>
      </c>
      <c r="H11" s="66">
        <f t="shared" si="0"/>
        <v>164.37779724668982</v>
      </c>
      <c r="I11" s="27">
        <f>+I10+2035350.96</f>
        <v>4249681.05</v>
      </c>
      <c r="J11" s="23"/>
      <c r="K11" s="1"/>
      <c r="L11" s="40"/>
    </row>
    <row r="12" spans="2:12" x14ac:dyDescent="0.35">
      <c r="B12" s="43">
        <v>7</v>
      </c>
      <c r="C12" s="41" t="s">
        <v>25</v>
      </c>
      <c r="D12" s="27">
        <v>2466772.65</v>
      </c>
      <c r="E12" s="27">
        <v>3178848</v>
      </c>
      <c r="F12" s="65">
        <f t="shared" ref="F12:F31" si="2">+E12+D12</f>
        <v>5645620.6500000004</v>
      </c>
      <c r="G12" s="27">
        <f>+G11+F12</f>
        <v>16880833.799999997</v>
      </c>
      <c r="H12" s="66">
        <f t="shared" si="0"/>
        <v>105.19430683355768</v>
      </c>
      <c r="I12" s="27">
        <f>+I11+3977074.39</f>
        <v>8226755.4399999995</v>
      </c>
      <c r="J12" s="23"/>
      <c r="K12" s="1"/>
      <c r="L12" s="40"/>
    </row>
    <row r="13" spans="2:12" x14ac:dyDescent="0.35">
      <c r="B13" s="43">
        <v>8</v>
      </c>
      <c r="C13" s="41" t="s">
        <v>26</v>
      </c>
      <c r="D13" s="27">
        <v>5219153.76</v>
      </c>
      <c r="E13" s="27">
        <v>0</v>
      </c>
      <c r="F13" s="65">
        <f t="shared" si="2"/>
        <v>5219153.76</v>
      </c>
      <c r="G13" s="27">
        <f t="shared" ref="G13:G14" si="3">+G12+F13</f>
        <v>22099987.559999995</v>
      </c>
      <c r="H13" s="66">
        <f>((G13-I13)/I13)*100</f>
        <v>61.518350704701383</v>
      </c>
      <c r="I13" s="27">
        <v>13682648.109999999</v>
      </c>
      <c r="J13" s="23"/>
      <c r="K13" s="1"/>
      <c r="L13" s="42"/>
    </row>
    <row r="14" spans="2:12" x14ac:dyDescent="0.35">
      <c r="B14" s="43">
        <v>9</v>
      </c>
      <c r="C14" s="41" t="s">
        <v>27</v>
      </c>
      <c r="D14" s="27">
        <v>4452434.1500000004</v>
      </c>
      <c r="E14" s="27">
        <v>0</v>
      </c>
      <c r="F14" s="65">
        <f t="shared" si="2"/>
        <v>4452434.1500000004</v>
      </c>
      <c r="G14" s="67">
        <f t="shared" si="3"/>
        <v>26552421.709999993</v>
      </c>
      <c r="H14" s="66">
        <f>((G14-I14)/I14)*100</f>
        <v>41.191446292220242</v>
      </c>
      <c r="I14" s="27">
        <v>18805970.48</v>
      </c>
      <c r="J14" s="23"/>
      <c r="K14" s="1"/>
    </row>
    <row r="15" spans="2:12" hidden="1" x14ac:dyDescent="0.35">
      <c r="B15" s="11">
        <v>10</v>
      </c>
      <c r="C15" s="17" t="s">
        <v>50</v>
      </c>
      <c r="D15" s="27"/>
      <c r="E15" s="27"/>
      <c r="F15" s="65">
        <f t="shared" si="2"/>
        <v>0</v>
      </c>
      <c r="G15" s="27">
        <f t="shared" si="1"/>
        <v>26552421.709999993</v>
      </c>
      <c r="H15" s="66">
        <v>0</v>
      </c>
      <c r="I15" s="27">
        <v>0</v>
      </c>
      <c r="J15" s="23"/>
      <c r="K15" s="1"/>
    </row>
    <row r="16" spans="2:12" hidden="1" x14ac:dyDescent="0.35">
      <c r="B16" s="11">
        <v>11</v>
      </c>
      <c r="C16" s="17" t="s">
        <v>28</v>
      </c>
      <c r="D16" s="27"/>
      <c r="E16" s="27"/>
      <c r="F16" s="65">
        <f t="shared" si="2"/>
        <v>0</v>
      </c>
      <c r="G16" s="27">
        <f t="shared" si="1"/>
        <v>26552421.709999993</v>
      </c>
      <c r="H16" s="66">
        <v>0</v>
      </c>
      <c r="I16" s="27">
        <v>0</v>
      </c>
      <c r="J16" s="23"/>
      <c r="K16" s="1"/>
    </row>
    <row r="17" spans="2:11" hidden="1" x14ac:dyDescent="0.35">
      <c r="B17" s="11">
        <v>12</v>
      </c>
      <c r="C17" s="17" t="s">
        <v>29</v>
      </c>
      <c r="D17" s="27"/>
      <c r="E17" s="27"/>
      <c r="F17" s="65">
        <f t="shared" si="2"/>
        <v>0</v>
      </c>
      <c r="G17" s="27">
        <f t="shared" si="1"/>
        <v>26552421.709999993</v>
      </c>
      <c r="H17" s="66">
        <v>0</v>
      </c>
      <c r="I17" s="27">
        <v>0</v>
      </c>
      <c r="J17" s="23"/>
      <c r="K17" s="1"/>
    </row>
    <row r="18" spans="2:11" hidden="1" x14ac:dyDescent="0.35">
      <c r="B18" s="11">
        <v>13</v>
      </c>
      <c r="C18" s="17" t="s">
        <v>30</v>
      </c>
      <c r="D18" s="27"/>
      <c r="E18" s="27"/>
      <c r="F18" s="65">
        <f t="shared" si="2"/>
        <v>0</v>
      </c>
      <c r="G18" s="27">
        <f t="shared" si="1"/>
        <v>26552421.709999993</v>
      </c>
      <c r="H18" s="66">
        <v>0</v>
      </c>
      <c r="I18" s="27">
        <v>0</v>
      </c>
      <c r="J18" s="23"/>
      <c r="K18" s="1"/>
    </row>
    <row r="19" spans="2:11" hidden="1" x14ac:dyDescent="0.35">
      <c r="B19" s="11">
        <v>14</v>
      </c>
      <c r="C19" s="18" t="s">
        <v>31</v>
      </c>
      <c r="D19" s="27"/>
      <c r="E19" s="27"/>
      <c r="F19" s="65">
        <f t="shared" si="2"/>
        <v>0</v>
      </c>
      <c r="G19" s="27">
        <f t="shared" si="1"/>
        <v>26552421.709999993</v>
      </c>
      <c r="H19" s="66">
        <v>0</v>
      </c>
      <c r="I19" s="27">
        <v>0</v>
      </c>
      <c r="J19" s="23"/>
      <c r="K19" s="1"/>
    </row>
    <row r="20" spans="2:11" hidden="1" x14ac:dyDescent="0.35">
      <c r="B20" s="11">
        <v>15</v>
      </c>
      <c r="C20" s="17" t="s">
        <v>32</v>
      </c>
      <c r="D20" s="27"/>
      <c r="E20" s="27"/>
      <c r="F20" s="65">
        <f t="shared" si="2"/>
        <v>0</v>
      </c>
      <c r="G20" s="27">
        <f t="shared" si="1"/>
        <v>26552421.709999993</v>
      </c>
      <c r="H20" s="66">
        <v>0</v>
      </c>
      <c r="I20" s="27">
        <v>0</v>
      </c>
      <c r="J20" s="23"/>
      <c r="K20" s="1"/>
    </row>
    <row r="21" spans="2:11" hidden="1" x14ac:dyDescent="0.35">
      <c r="B21" s="11">
        <v>16</v>
      </c>
      <c r="C21" s="17" t="s">
        <v>33</v>
      </c>
      <c r="D21" s="27"/>
      <c r="E21" s="27"/>
      <c r="F21" s="65">
        <f t="shared" si="2"/>
        <v>0</v>
      </c>
      <c r="G21" s="27">
        <f t="shared" si="1"/>
        <v>26552421.709999993</v>
      </c>
      <c r="H21" s="66">
        <v>0</v>
      </c>
      <c r="I21" s="27">
        <v>0</v>
      </c>
      <c r="J21" s="23"/>
      <c r="K21" s="1"/>
    </row>
    <row r="22" spans="2:11" hidden="1" x14ac:dyDescent="0.35">
      <c r="B22" s="11">
        <v>17</v>
      </c>
      <c r="C22" s="17" t="s">
        <v>34</v>
      </c>
      <c r="D22" s="27"/>
      <c r="E22" s="27"/>
      <c r="F22" s="65">
        <f t="shared" si="2"/>
        <v>0</v>
      </c>
      <c r="G22" s="27">
        <f t="shared" si="1"/>
        <v>26552421.709999993</v>
      </c>
      <c r="H22" s="66">
        <v>0</v>
      </c>
      <c r="I22" s="27">
        <v>0</v>
      </c>
      <c r="J22" s="23"/>
      <c r="K22" s="1"/>
    </row>
    <row r="23" spans="2:11" hidden="1" x14ac:dyDescent="0.35">
      <c r="B23" s="11">
        <v>18</v>
      </c>
      <c r="C23" s="17" t="s">
        <v>35</v>
      </c>
      <c r="D23" s="27"/>
      <c r="E23" s="27"/>
      <c r="F23" s="65">
        <f t="shared" si="2"/>
        <v>0</v>
      </c>
      <c r="G23" s="27">
        <f t="shared" si="1"/>
        <v>26552421.709999993</v>
      </c>
      <c r="H23" s="66">
        <v>0</v>
      </c>
      <c r="I23" s="27">
        <v>0</v>
      </c>
      <c r="J23" s="23"/>
      <c r="K23" s="1"/>
    </row>
    <row r="24" spans="2:11" hidden="1" x14ac:dyDescent="0.35">
      <c r="B24" s="11">
        <v>19</v>
      </c>
      <c r="C24" s="17" t="s">
        <v>36</v>
      </c>
      <c r="D24" s="27"/>
      <c r="E24" s="27"/>
      <c r="F24" s="65">
        <f t="shared" si="2"/>
        <v>0</v>
      </c>
      <c r="G24" s="27">
        <f t="shared" si="1"/>
        <v>26552421.709999993</v>
      </c>
      <c r="H24" s="66">
        <v>0</v>
      </c>
      <c r="I24" s="27">
        <v>0</v>
      </c>
      <c r="J24" s="23"/>
      <c r="K24" s="1"/>
    </row>
    <row r="25" spans="2:11" hidden="1" x14ac:dyDescent="0.35">
      <c r="B25" s="11">
        <v>20</v>
      </c>
      <c r="C25" s="17" t="s">
        <v>37</v>
      </c>
      <c r="D25" s="27"/>
      <c r="E25" s="27"/>
      <c r="F25" s="65">
        <f t="shared" si="2"/>
        <v>0</v>
      </c>
      <c r="G25" s="27">
        <f t="shared" si="1"/>
        <v>26552421.709999993</v>
      </c>
      <c r="H25" s="66">
        <v>0</v>
      </c>
      <c r="I25" s="27">
        <v>0</v>
      </c>
      <c r="J25" s="23"/>
      <c r="K25" s="1"/>
    </row>
    <row r="26" spans="2:11" hidden="1" x14ac:dyDescent="0.35">
      <c r="B26" s="11">
        <v>21</v>
      </c>
      <c r="C26" s="17" t="s">
        <v>38</v>
      </c>
      <c r="D26" s="27"/>
      <c r="E26" s="27"/>
      <c r="F26" s="65">
        <f t="shared" si="2"/>
        <v>0</v>
      </c>
      <c r="G26" s="27">
        <f t="shared" si="1"/>
        <v>26552421.709999993</v>
      </c>
      <c r="H26" s="66">
        <v>0</v>
      </c>
      <c r="I26" s="27">
        <v>0</v>
      </c>
      <c r="J26" s="23"/>
      <c r="K26" s="1"/>
    </row>
    <row r="27" spans="2:11" hidden="1" x14ac:dyDescent="0.35">
      <c r="B27" s="11">
        <v>22</v>
      </c>
      <c r="C27" s="17" t="s">
        <v>39</v>
      </c>
      <c r="D27" s="27"/>
      <c r="E27" s="27"/>
      <c r="F27" s="65">
        <f t="shared" si="2"/>
        <v>0</v>
      </c>
      <c r="G27" s="27">
        <f t="shared" si="1"/>
        <v>26552421.709999993</v>
      </c>
      <c r="H27" s="66">
        <v>0</v>
      </c>
      <c r="I27" s="27">
        <v>0</v>
      </c>
      <c r="J27" s="23"/>
      <c r="K27" s="1"/>
    </row>
    <row r="28" spans="2:11" hidden="1" x14ac:dyDescent="0.35">
      <c r="B28" s="11">
        <v>23</v>
      </c>
      <c r="C28" s="17" t="s">
        <v>40</v>
      </c>
      <c r="D28" s="27"/>
      <c r="E28" s="27"/>
      <c r="F28" s="65">
        <f t="shared" si="2"/>
        <v>0</v>
      </c>
      <c r="G28" s="27">
        <f t="shared" si="1"/>
        <v>26552421.709999993</v>
      </c>
      <c r="H28" s="66">
        <v>0</v>
      </c>
      <c r="I28" s="27">
        <v>0</v>
      </c>
      <c r="J28" s="23"/>
      <c r="K28" s="1"/>
    </row>
    <row r="29" spans="2:11" hidden="1" x14ac:dyDescent="0.35">
      <c r="B29" s="11">
        <v>24</v>
      </c>
      <c r="C29" s="17" t="s">
        <v>41</v>
      </c>
      <c r="D29" s="27"/>
      <c r="E29" s="27"/>
      <c r="F29" s="65">
        <f t="shared" si="2"/>
        <v>0</v>
      </c>
      <c r="G29" s="27">
        <f t="shared" si="1"/>
        <v>26552421.709999993</v>
      </c>
      <c r="H29" s="66">
        <v>0</v>
      </c>
      <c r="I29" s="27">
        <v>0</v>
      </c>
      <c r="J29" s="23"/>
      <c r="K29" s="1"/>
    </row>
    <row r="30" spans="2:11" hidden="1" x14ac:dyDescent="0.35">
      <c r="B30" s="11">
        <v>25</v>
      </c>
      <c r="C30" s="19" t="s">
        <v>42</v>
      </c>
      <c r="D30" s="27"/>
      <c r="E30" s="27"/>
      <c r="F30" s="65">
        <f t="shared" si="2"/>
        <v>0</v>
      </c>
      <c r="G30" s="27">
        <f t="shared" si="1"/>
        <v>26552421.709999993</v>
      </c>
      <c r="H30" s="66">
        <v>0</v>
      </c>
      <c r="I30" s="27">
        <v>0</v>
      </c>
      <c r="J30" s="23"/>
      <c r="K30" s="1"/>
    </row>
    <row r="31" spans="2:11" hidden="1" x14ac:dyDescent="0.35">
      <c r="B31" s="29">
        <v>26</v>
      </c>
      <c r="C31" s="30" t="s">
        <v>43</v>
      </c>
      <c r="D31" s="34"/>
      <c r="E31" s="34"/>
      <c r="F31" s="94">
        <f t="shared" si="2"/>
        <v>0</v>
      </c>
      <c r="G31" s="34">
        <f t="shared" si="1"/>
        <v>26552421.709999993</v>
      </c>
      <c r="H31" s="95">
        <v>0</v>
      </c>
      <c r="I31" s="34">
        <v>0</v>
      </c>
      <c r="J31" s="23"/>
      <c r="K31" s="1"/>
    </row>
    <row r="32" spans="2:11" x14ac:dyDescent="0.35">
      <c r="B32" s="5"/>
      <c r="C32" s="5"/>
      <c r="D32" s="6"/>
      <c r="E32" s="6"/>
      <c r="F32" s="6"/>
      <c r="G32" s="6"/>
      <c r="H32" s="6"/>
      <c r="I32" s="6"/>
      <c r="J32" s="5"/>
      <c r="K32" s="1"/>
    </row>
    <row r="33" spans="2:11" x14ac:dyDescent="0.35">
      <c r="B33" s="8" t="s">
        <v>44</v>
      </c>
      <c r="C33" s="5"/>
      <c r="D33" s="6"/>
      <c r="E33" s="6"/>
      <c r="F33" s="6"/>
      <c r="G33" s="6"/>
      <c r="H33" s="6"/>
      <c r="I33" s="6"/>
      <c r="J33" s="5"/>
      <c r="K33" s="1"/>
    </row>
    <row r="34" spans="2:11" x14ac:dyDescent="0.35">
      <c r="B34" s="9" t="s">
        <v>45</v>
      </c>
      <c r="C34" s="5"/>
      <c r="D34" s="6"/>
      <c r="E34" s="6"/>
      <c r="F34" s="6"/>
      <c r="G34" s="6"/>
      <c r="H34" s="6"/>
      <c r="I34" s="6"/>
      <c r="J34" s="5"/>
      <c r="K34" s="1"/>
    </row>
    <row r="35" spans="2:11" x14ac:dyDescent="0.35">
      <c r="B35" s="9" t="s">
        <v>46</v>
      </c>
      <c r="C35" s="5"/>
      <c r="D35" s="6"/>
      <c r="E35" s="6"/>
      <c r="F35" s="6"/>
      <c r="G35" s="6"/>
      <c r="H35" s="6"/>
      <c r="I35" s="6"/>
      <c r="J35" s="5"/>
      <c r="K35" s="1"/>
    </row>
    <row r="36" spans="2:11" x14ac:dyDescent="0.35">
      <c r="B36" s="9" t="s">
        <v>47</v>
      </c>
      <c r="C36" s="5"/>
      <c r="D36" s="6"/>
      <c r="E36" s="6"/>
      <c r="F36" s="6"/>
      <c r="G36" s="6"/>
      <c r="H36" s="6"/>
      <c r="I36" s="6"/>
      <c r="J36" s="5"/>
      <c r="K36" s="1"/>
    </row>
    <row r="37" spans="2:11" x14ac:dyDescent="0.35">
      <c r="B37" s="9"/>
      <c r="C37" s="5"/>
      <c r="D37" s="6"/>
      <c r="E37" s="6"/>
      <c r="F37" s="6"/>
      <c r="G37" s="6"/>
      <c r="H37" s="6"/>
      <c r="I37" s="6"/>
      <c r="J37" s="5"/>
      <c r="K37" s="1"/>
    </row>
    <row r="38" spans="2:11" x14ac:dyDescent="0.35">
      <c r="B38" s="9"/>
      <c r="C38" s="5"/>
      <c r="D38" s="6"/>
      <c r="E38" s="6"/>
      <c r="F38" s="6"/>
      <c r="G38" s="6"/>
      <c r="H38" s="6"/>
      <c r="I38" s="6"/>
      <c r="J38" s="5"/>
      <c r="K38" s="1"/>
    </row>
    <row r="39" spans="2:11" ht="18.5" x14ac:dyDescent="0.45">
      <c r="B39" s="10"/>
      <c r="C39" s="10"/>
      <c r="D39" s="112" t="s">
        <v>48</v>
      </c>
      <c r="E39" s="112"/>
      <c r="F39" s="112"/>
      <c r="G39" s="112"/>
      <c r="H39" s="112"/>
      <c r="I39" s="112"/>
      <c r="J39" s="10"/>
    </row>
    <row r="40" spans="2:11" s="38" customFormat="1" ht="16" x14ac:dyDescent="0.4">
      <c r="B40" s="28"/>
      <c r="C40" s="28"/>
      <c r="D40" s="144" t="s">
        <v>53</v>
      </c>
      <c r="E40" s="144"/>
      <c r="F40" s="144"/>
      <c r="G40" s="144"/>
      <c r="H40" s="144"/>
      <c r="I40" s="144"/>
      <c r="J40" s="28"/>
    </row>
    <row r="41" spans="2:11" ht="15.9" customHeight="1" x14ac:dyDescent="0.4">
      <c r="B41" s="124" t="s">
        <v>6</v>
      </c>
      <c r="C41" s="124"/>
      <c r="D41" s="124"/>
      <c r="E41" s="124"/>
      <c r="F41" s="124"/>
      <c r="G41" s="124"/>
      <c r="H41" s="124"/>
      <c r="I41" s="124"/>
      <c r="J41" s="124"/>
    </row>
    <row r="42" spans="2:11" ht="14.4" customHeight="1" x14ac:dyDescent="0.35">
      <c r="B42" s="15"/>
      <c r="C42" s="16"/>
      <c r="D42" s="114" t="s">
        <v>7</v>
      </c>
      <c r="E42" s="115"/>
      <c r="F42" s="115"/>
      <c r="G42" s="116"/>
      <c r="H42" s="117" t="s">
        <v>8</v>
      </c>
      <c r="I42" s="118"/>
      <c r="J42" s="4"/>
    </row>
    <row r="43" spans="2:11" x14ac:dyDescent="0.35">
      <c r="B43" s="13"/>
      <c r="C43" s="14"/>
      <c r="D43" s="121" t="s">
        <v>10</v>
      </c>
      <c r="E43" s="122"/>
      <c r="F43" s="122"/>
      <c r="G43" s="123"/>
      <c r="H43" s="119"/>
      <c r="I43" s="120"/>
      <c r="J43" s="4"/>
    </row>
    <row r="44" spans="2:11" ht="14.4" customHeight="1" x14ac:dyDescent="0.35">
      <c r="B44" s="128" t="s">
        <v>11</v>
      </c>
      <c r="C44" s="130" t="s">
        <v>12</v>
      </c>
      <c r="D44" s="80" t="s">
        <v>13</v>
      </c>
      <c r="E44" s="80" t="s">
        <v>14</v>
      </c>
      <c r="F44" s="80" t="s">
        <v>15</v>
      </c>
      <c r="G44" s="80" t="s">
        <v>16</v>
      </c>
      <c r="H44" s="132" t="s">
        <v>17</v>
      </c>
      <c r="I44" s="134" t="s">
        <v>18</v>
      </c>
      <c r="J44" s="21"/>
    </row>
    <row r="45" spans="2:11" ht="38.4" customHeight="1" x14ac:dyDescent="0.35">
      <c r="B45" s="129"/>
      <c r="C45" s="131"/>
      <c r="D45" s="141" t="s">
        <v>21</v>
      </c>
      <c r="E45" s="142"/>
      <c r="F45" s="142"/>
      <c r="G45" s="143"/>
      <c r="H45" s="133"/>
      <c r="I45" s="135"/>
      <c r="J45" s="21"/>
    </row>
    <row r="46" spans="2:11" x14ac:dyDescent="0.35">
      <c r="B46" s="43">
        <v>4</v>
      </c>
      <c r="C46" s="41" t="s">
        <v>22</v>
      </c>
      <c r="D46" s="22">
        <v>607068.43999999994</v>
      </c>
      <c r="E46" s="22">
        <v>0</v>
      </c>
      <c r="F46" s="61">
        <f>+D46+E46</f>
        <v>607068.43999999994</v>
      </c>
      <c r="G46" s="22">
        <f>+F46</f>
        <v>607068.43999999994</v>
      </c>
      <c r="H46" s="62">
        <f t="shared" ref="H46:H51" si="4">((G46-I46)/I46)*100</f>
        <v>339.17271214642255</v>
      </c>
      <c r="I46" s="22">
        <v>138230</v>
      </c>
      <c r="J46" s="23"/>
    </row>
    <row r="47" spans="2:11" x14ac:dyDescent="0.35">
      <c r="B47" s="43">
        <v>5</v>
      </c>
      <c r="C47" s="41" t="s">
        <v>23</v>
      </c>
      <c r="D47" s="27">
        <v>4089168.8</v>
      </c>
      <c r="E47" s="27">
        <v>0</v>
      </c>
      <c r="F47" s="65">
        <f>+E47+D47</f>
        <v>4089168.8</v>
      </c>
      <c r="G47" s="27">
        <f>+G46+F47</f>
        <v>4696237.24</v>
      </c>
      <c r="H47" s="66">
        <f t="shared" si="4"/>
        <v>147.87044415722741</v>
      </c>
      <c r="I47" s="27">
        <f>+I46+1756403.81</f>
        <v>1894633.81</v>
      </c>
      <c r="J47" s="23"/>
    </row>
    <row r="48" spans="2:11" x14ac:dyDescent="0.35">
      <c r="B48" s="43">
        <v>6</v>
      </c>
      <c r="C48" s="41" t="s">
        <v>24</v>
      </c>
      <c r="D48" s="27">
        <f>5584467.11-79989</f>
        <v>5504478.1100000003</v>
      </c>
      <c r="E48" s="27">
        <f>22759+57230</f>
        <v>79989</v>
      </c>
      <c r="F48" s="65">
        <f>+E48+D48</f>
        <v>5584467.1100000003</v>
      </c>
      <c r="G48" s="27">
        <f t="shared" ref="G48" si="5">+G47+F48</f>
        <v>10280704.350000001</v>
      </c>
      <c r="H48" s="66">
        <f t="shared" si="4"/>
        <v>197.89509806777991</v>
      </c>
      <c r="I48" s="27">
        <f>+I47+1556481.84</f>
        <v>3451115.6500000004</v>
      </c>
      <c r="J48" s="23"/>
    </row>
    <row r="49" spans="2:10" x14ac:dyDescent="0.35">
      <c r="B49" s="43">
        <v>7</v>
      </c>
      <c r="C49" s="41" t="s">
        <v>25</v>
      </c>
      <c r="D49" s="27">
        <v>2246964.02</v>
      </c>
      <c r="E49" s="27">
        <v>2731342</v>
      </c>
      <c r="F49" s="65">
        <f t="shared" ref="F49:F68" si="6">+E49+D49</f>
        <v>4978306.0199999996</v>
      </c>
      <c r="G49" s="27">
        <f>+G48+F49</f>
        <v>15259010.370000001</v>
      </c>
      <c r="H49" s="66">
        <f t="shared" si="4"/>
        <v>120.9948176844611</v>
      </c>
      <c r="I49" s="27">
        <f>+I48+3453575.84</f>
        <v>6904691.4900000002</v>
      </c>
      <c r="J49" s="23"/>
    </row>
    <row r="50" spans="2:10" x14ac:dyDescent="0.35">
      <c r="B50" s="43">
        <v>8</v>
      </c>
      <c r="C50" s="41" t="s">
        <v>26</v>
      </c>
      <c r="D50" s="27">
        <v>4496067.58</v>
      </c>
      <c r="E50" s="27">
        <v>0</v>
      </c>
      <c r="F50" s="65">
        <f t="shared" si="6"/>
        <v>4496067.58</v>
      </c>
      <c r="G50" s="27">
        <f t="shared" ref="G50:G51" si="7">+G49+F50</f>
        <v>19755077.950000003</v>
      </c>
      <c r="H50" s="66">
        <f t="shared" si="4"/>
        <v>75.44608122474969</v>
      </c>
      <c r="I50" s="27">
        <v>11259914.050000001</v>
      </c>
      <c r="J50" s="23"/>
    </row>
    <row r="51" spans="2:10" x14ac:dyDescent="0.35">
      <c r="B51" s="43">
        <v>9</v>
      </c>
      <c r="C51" s="41" t="s">
        <v>27</v>
      </c>
      <c r="D51" s="27">
        <v>3394425.52</v>
      </c>
      <c r="E51" s="27">
        <v>0</v>
      </c>
      <c r="F51" s="65">
        <f t="shared" si="6"/>
        <v>3394425.52</v>
      </c>
      <c r="G51" s="68">
        <f t="shared" si="7"/>
        <v>23149503.470000003</v>
      </c>
      <c r="H51" s="66">
        <f t="shared" si="4"/>
        <v>48.791697478644146</v>
      </c>
      <c r="I51" s="27">
        <f>+I50+4298416.06</f>
        <v>15558330.109999999</v>
      </c>
      <c r="J51" s="23"/>
    </row>
    <row r="52" spans="2:10" hidden="1" x14ac:dyDescent="0.35">
      <c r="B52" s="11">
        <v>10</v>
      </c>
      <c r="C52" s="17" t="s">
        <v>50</v>
      </c>
      <c r="D52" s="27"/>
      <c r="E52" s="27"/>
      <c r="F52" s="65">
        <f t="shared" si="6"/>
        <v>0</v>
      </c>
      <c r="G52" s="27">
        <f t="shared" ref="G52:G68" si="8">+G51+F52</f>
        <v>23149503.470000003</v>
      </c>
      <c r="H52" s="66">
        <v>0</v>
      </c>
      <c r="I52" s="27">
        <v>0</v>
      </c>
      <c r="J52" s="23"/>
    </row>
    <row r="53" spans="2:10" hidden="1" x14ac:dyDescent="0.35">
      <c r="B53" s="11">
        <v>11</v>
      </c>
      <c r="C53" s="17" t="s">
        <v>28</v>
      </c>
      <c r="D53" s="27"/>
      <c r="E53" s="27"/>
      <c r="F53" s="65">
        <f t="shared" si="6"/>
        <v>0</v>
      </c>
      <c r="G53" s="27">
        <f t="shared" si="8"/>
        <v>23149503.470000003</v>
      </c>
      <c r="H53" s="66">
        <v>0</v>
      </c>
      <c r="I53" s="27">
        <v>0</v>
      </c>
      <c r="J53" s="23"/>
    </row>
    <row r="54" spans="2:10" hidden="1" x14ac:dyDescent="0.35">
      <c r="B54" s="11">
        <v>12</v>
      </c>
      <c r="C54" s="17" t="s">
        <v>29</v>
      </c>
      <c r="D54" s="27"/>
      <c r="E54" s="27"/>
      <c r="F54" s="65">
        <f t="shared" si="6"/>
        <v>0</v>
      </c>
      <c r="G54" s="27">
        <f t="shared" si="8"/>
        <v>23149503.470000003</v>
      </c>
      <c r="H54" s="66">
        <v>0</v>
      </c>
      <c r="I54" s="27">
        <v>0</v>
      </c>
      <c r="J54" s="23"/>
    </row>
    <row r="55" spans="2:10" hidden="1" x14ac:dyDescent="0.35">
      <c r="B55" s="11">
        <v>13</v>
      </c>
      <c r="C55" s="17" t="s">
        <v>30</v>
      </c>
      <c r="D55" s="27"/>
      <c r="E55" s="27"/>
      <c r="F55" s="65">
        <f t="shared" si="6"/>
        <v>0</v>
      </c>
      <c r="G55" s="27">
        <f t="shared" si="8"/>
        <v>23149503.470000003</v>
      </c>
      <c r="H55" s="66">
        <v>0</v>
      </c>
      <c r="I55" s="27">
        <v>0</v>
      </c>
      <c r="J55" s="23"/>
    </row>
    <row r="56" spans="2:10" hidden="1" x14ac:dyDescent="0.35">
      <c r="B56" s="11">
        <v>14</v>
      </c>
      <c r="C56" s="18" t="s">
        <v>31</v>
      </c>
      <c r="D56" s="27"/>
      <c r="E56" s="27"/>
      <c r="F56" s="65">
        <f t="shared" si="6"/>
        <v>0</v>
      </c>
      <c r="G56" s="27">
        <f t="shared" si="8"/>
        <v>23149503.470000003</v>
      </c>
      <c r="H56" s="66">
        <v>0</v>
      </c>
      <c r="I56" s="27">
        <v>0</v>
      </c>
      <c r="J56" s="23"/>
    </row>
    <row r="57" spans="2:10" hidden="1" x14ac:dyDescent="0.35">
      <c r="B57" s="11">
        <v>15</v>
      </c>
      <c r="C57" s="17" t="s">
        <v>32</v>
      </c>
      <c r="D57" s="27"/>
      <c r="E57" s="27"/>
      <c r="F57" s="65">
        <f t="shared" si="6"/>
        <v>0</v>
      </c>
      <c r="G57" s="27">
        <f t="shared" si="8"/>
        <v>23149503.470000003</v>
      </c>
      <c r="H57" s="66">
        <v>0</v>
      </c>
      <c r="I57" s="27">
        <v>0</v>
      </c>
      <c r="J57" s="23"/>
    </row>
    <row r="58" spans="2:10" hidden="1" x14ac:dyDescent="0.35">
      <c r="B58" s="11">
        <v>16</v>
      </c>
      <c r="C58" s="17" t="s">
        <v>33</v>
      </c>
      <c r="D58" s="27"/>
      <c r="E58" s="27"/>
      <c r="F58" s="65">
        <f t="shared" si="6"/>
        <v>0</v>
      </c>
      <c r="G58" s="27">
        <f t="shared" si="8"/>
        <v>23149503.470000003</v>
      </c>
      <c r="H58" s="66">
        <v>0</v>
      </c>
      <c r="I58" s="27">
        <v>0</v>
      </c>
      <c r="J58" s="23"/>
    </row>
    <row r="59" spans="2:10" hidden="1" x14ac:dyDescent="0.35">
      <c r="B59" s="11">
        <v>17</v>
      </c>
      <c r="C59" s="17" t="s">
        <v>34</v>
      </c>
      <c r="D59" s="27"/>
      <c r="E59" s="27"/>
      <c r="F59" s="65">
        <f t="shared" si="6"/>
        <v>0</v>
      </c>
      <c r="G59" s="27">
        <f t="shared" si="8"/>
        <v>23149503.470000003</v>
      </c>
      <c r="H59" s="66">
        <v>0</v>
      </c>
      <c r="I59" s="27">
        <v>0</v>
      </c>
      <c r="J59" s="23"/>
    </row>
    <row r="60" spans="2:10" hidden="1" x14ac:dyDescent="0.35">
      <c r="B60" s="11">
        <v>18</v>
      </c>
      <c r="C60" s="17" t="s">
        <v>35</v>
      </c>
      <c r="D60" s="27"/>
      <c r="E60" s="27"/>
      <c r="F60" s="65">
        <f t="shared" si="6"/>
        <v>0</v>
      </c>
      <c r="G60" s="27">
        <f t="shared" si="8"/>
        <v>23149503.470000003</v>
      </c>
      <c r="H60" s="66">
        <v>0</v>
      </c>
      <c r="I60" s="27">
        <v>0</v>
      </c>
      <c r="J60" s="23"/>
    </row>
    <row r="61" spans="2:10" hidden="1" x14ac:dyDescent="0.35">
      <c r="B61" s="11">
        <v>19</v>
      </c>
      <c r="C61" s="17" t="s">
        <v>36</v>
      </c>
      <c r="D61" s="27"/>
      <c r="E61" s="27"/>
      <c r="F61" s="65">
        <f t="shared" si="6"/>
        <v>0</v>
      </c>
      <c r="G61" s="27">
        <f t="shared" si="8"/>
        <v>23149503.470000003</v>
      </c>
      <c r="H61" s="66">
        <v>0</v>
      </c>
      <c r="I61" s="27">
        <v>0</v>
      </c>
      <c r="J61" s="23"/>
    </row>
    <row r="62" spans="2:10" hidden="1" x14ac:dyDescent="0.35">
      <c r="B62" s="11">
        <v>20</v>
      </c>
      <c r="C62" s="17" t="s">
        <v>37</v>
      </c>
      <c r="D62" s="27"/>
      <c r="E62" s="27"/>
      <c r="F62" s="65">
        <f t="shared" si="6"/>
        <v>0</v>
      </c>
      <c r="G62" s="27">
        <f t="shared" si="8"/>
        <v>23149503.470000003</v>
      </c>
      <c r="H62" s="66">
        <v>0</v>
      </c>
      <c r="I62" s="27">
        <v>0</v>
      </c>
      <c r="J62" s="23"/>
    </row>
    <row r="63" spans="2:10" hidden="1" x14ac:dyDescent="0.35">
      <c r="B63" s="11">
        <v>21</v>
      </c>
      <c r="C63" s="17" t="s">
        <v>38</v>
      </c>
      <c r="D63" s="27"/>
      <c r="E63" s="27"/>
      <c r="F63" s="65">
        <f t="shared" si="6"/>
        <v>0</v>
      </c>
      <c r="G63" s="27">
        <f t="shared" si="8"/>
        <v>23149503.470000003</v>
      </c>
      <c r="H63" s="66">
        <v>0</v>
      </c>
      <c r="I63" s="27">
        <v>0</v>
      </c>
      <c r="J63" s="23"/>
    </row>
    <row r="64" spans="2:10" hidden="1" x14ac:dyDescent="0.35">
      <c r="B64" s="11">
        <v>22</v>
      </c>
      <c r="C64" s="17" t="s">
        <v>39</v>
      </c>
      <c r="D64" s="27"/>
      <c r="E64" s="27"/>
      <c r="F64" s="65">
        <f t="shared" si="6"/>
        <v>0</v>
      </c>
      <c r="G64" s="27">
        <f t="shared" si="8"/>
        <v>23149503.470000003</v>
      </c>
      <c r="H64" s="66">
        <v>0</v>
      </c>
      <c r="I64" s="27">
        <v>0</v>
      </c>
      <c r="J64" s="23"/>
    </row>
    <row r="65" spans="2:10" hidden="1" x14ac:dyDescent="0.35">
      <c r="B65" s="11">
        <v>23</v>
      </c>
      <c r="C65" s="17" t="s">
        <v>40</v>
      </c>
      <c r="D65" s="27"/>
      <c r="E65" s="27"/>
      <c r="F65" s="65">
        <f t="shared" si="6"/>
        <v>0</v>
      </c>
      <c r="G65" s="27">
        <f t="shared" si="8"/>
        <v>23149503.470000003</v>
      </c>
      <c r="H65" s="66">
        <v>0</v>
      </c>
      <c r="I65" s="27">
        <v>0</v>
      </c>
      <c r="J65" s="23"/>
    </row>
    <row r="66" spans="2:10" hidden="1" x14ac:dyDescent="0.35">
      <c r="B66" s="11">
        <v>24</v>
      </c>
      <c r="C66" s="17" t="s">
        <v>41</v>
      </c>
      <c r="D66" s="27"/>
      <c r="E66" s="27"/>
      <c r="F66" s="65">
        <f t="shared" si="6"/>
        <v>0</v>
      </c>
      <c r="G66" s="27">
        <f t="shared" si="8"/>
        <v>23149503.470000003</v>
      </c>
      <c r="H66" s="66">
        <v>0</v>
      </c>
      <c r="I66" s="27">
        <v>0</v>
      </c>
      <c r="J66" s="23"/>
    </row>
    <row r="67" spans="2:10" hidden="1" x14ac:dyDescent="0.35">
      <c r="B67" s="11">
        <v>25</v>
      </c>
      <c r="C67" s="19" t="s">
        <v>42</v>
      </c>
      <c r="D67" s="27"/>
      <c r="E67" s="27"/>
      <c r="F67" s="65">
        <f t="shared" si="6"/>
        <v>0</v>
      </c>
      <c r="G67" s="27">
        <f t="shared" si="8"/>
        <v>23149503.470000003</v>
      </c>
      <c r="H67" s="66">
        <v>0</v>
      </c>
      <c r="I67" s="27">
        <v>0</v>
      </c>
      <c r="J67" s="23"/>
    </row>
    <row r="68" spans="2:10" hidden="1" x14ac:dyDescent="0.35">
      <c r="B68" s="29">
        <v>26</v>
      </c>
      <c r="C68" s="30" t="s">
        <v>43</v>
      </c>
      <c r="D68" s="34"/>
      <c r="E68" s="34"/>
      <c r="F68" s="94">
        <f t="shared" si="6"/>
        <v>0</v>
      </c>
      <c r="G68" s="34">
        <f t="shared" si="8"/>
        <v>23149503.470000003</v>
      </c>
      <c r="H68" s="95">
        <v>0</v>
      </c>
      <c r="I68" s="34">
        <v>0</v>
      </c>
      <c r="J68" s="23"/>
    </row>
    <row r="69" spans="2:10" x14ac:dyDescent="0.35">
      <c r="B69" s="5"/>
      <c r="C69" s="5"/>
      <c r="D69" s="6"/>
      <c r="E69" s="6"/>
      <c r="F69" s="6"/>
      <c r="G69" s="6"/>
      <c r="H69" s="6"/>
      <c r="I69" s="6"/>
      <c r="J69" s="5"/>
    </row>
    <row r="70" spans="2:10" x14ac:dyDescent="0.35">
      <c r="B70" s="8" t="s">
        <v>44</v>
      </c>
      <c r="C70" s="5"/>
      <c r="D70" s="6"/>
      <c r="E70" s="6"/>
      <c r="F70" s="6"/>
      <c r="G70" s="6"/>
      <c r="H70" s="6"/>
      <c r="I70" s="6"/>
      <c r="J70" s="5"/>
    </row>
    <row r="71" spans="2:10" x14ac:dyDescent="0.35">
      <c r="B71" s="9" t="s">
        <v>45</v>
      </c>
      <c r="C71" s="5"/>
      <c r="D71" s="6"/>
      <c r="E71" s="6"/>
      <c r="F71" s="6"/>
      <c r="G71" s="6"/>
      <c r="H71" s="6"/>
      <c r="I71" s="6"/>
      <c r="J71" s="5"/>
    </row>
    <row r="72" spans="2:10" x14ac:dyDescent="0.35">
      <c r="B72" s="9" t="s">
        <v>46</v>
      </c>
      <c r="C72" s="5"/>
      <c r="D72" s="6"/>
      <c r="E72" s="6"/>
      <c r="F72" s="6"/>
      <c r="G72" s="6"/>
      <c r="H72" s="6"/>
      <c r="I72" s="6"/>
      <c r="J72" s="5"/>
    </row>
    <row r="73" spans="2:10" x14ac:dyDescent="0.35">
      <c r="B73" s="9" t="s">
        <v>47</v>
      </c>
      <c r="C73" s="5"/>
      <c r="D73" s="6"/>
      <c r="E73" s="6"/>
      <c r="F73" s="6"/>
      <c r="G73" s="6"/>
      <c r="H73" s="6"/>
      <c r="I73" s="6"/>
      <c r="J73" s="5"/>
    </row>
    <row r="74" spans="2:10" x14ac:dyDescent="0.35">
      <c r="B74" s="10"/>
      <c r="C74" s="10"/>
      <c r="D74" s="60"/>
      <c r="E74" s="60"/>
      <c r="F74" s="60"/>
      <c r="G74" s="60"/>
      <c r="H74" s="60"/>
      <c r="I74" s="60"/>
      <c r="J74" s="10"/>
    </row>
    <row r="75" spans="2:10" x14ac:dyDescent="0.35">
      <c r="B75" s="10"/>
      <c r="C75" s="10"/>
      <c r="D75" s="60"/>
      <c r="E75" s="60"/>
      <c r="F75" s="60"/>
      <c r="G75" s="60"/>
      <c r="H75" s="60"/>
      <c r="I75" s="60"/>
      <c r="J75" s="10"/>
    </row>
    <row r="76" spans="2:10" ht="18.5" x14ac:dyDescent="0.45">
      <c r="B76" s="10"/>
      <c r="C76" s="10"/>
      <c r="D76" s="136" t="s">
        <v>51</v>
      </c>
      <c r="E76" s="136"/>
      <c r="F76" s="136"/>
      <c r="G76" s="136"/>
      <c r="H76" s="136"/>
      <c r="I76" s="136"/>
      <c r="J76" s="10"/>
    </row>
    <row r="77" spans="2:10" s="38" customFormat="1" ht="16" x14ac:dyDescent="0.4">
      <c r="B77" s="28"/>
      <c r="C77" s="28"/>
      <c r="D77" s="146" t="s">
        <v>53</v>
      </c>
      <c r="E77" s="146"/>
      <c r="F77" s="146"/>
      <c r="G77" s="146"/>
      <c r="H77" s="146"/>
      <c r="I77" s="146"/>
      <c r="J77" s="28"/>
    </row>
    <row r="78" spans="2:10" ht="15.9" customHeight="1" x14ac:dyDescent="0.4">
      <c r="B78" s="124" t="s">
        <v>6</v>
      </c>
      <c r="C78" s="124"/>
      <c r="D78" s="124"/>
      <c r="E78" s="124"/>
      <c r="F78" s="124"/>
      <c r="G78" s="124"/>
      <c r="H78" s="124"/>
      <c r="I78" s="124"/>
      <c r="J78" s="124"/>
    </row>
    <row r="79" spans="2:10" ht="14.4" customHeight="1" x14ac:dyDescent="0.35">
      <c r="B79" s="15"/>
      <c r="C79" s="16"/>
      <c r="D79" s="114" t="s">
        <v>7</v>
      </c>
      <c r="E79" s="115"/>
      <c r="F79" s="115"/>
      <c r="G79" s="116"/>
      <c r="H79" s="117" t="s">
        <v>8</v>
      </c>
      <c r="I79" s="118"/>
      <c r="J79" s="4"/>
    </row>
    <row r="80" spans="2:10" x14ac:dyDescent="0.35">
      <c r="B80" s="13"/>
      <c r="C80" s="14"/>
      <c r="D80" s="121" t="s">
        <v>10</v>
      </c>
      <c r="E80" s="122"/>
      <c r="F80" s="122"/>
      <c r="G80" s="123"/>
      <c r="H80" s="119"/>
      <c r="I80" s="120"/>
      <c r="J80" s="4"/>
    </row>
    <row r="81" spans="2:10" ht="14.4" customHeight="1" x14ac:dyDescent="0.35">
      <c r="B81" s="128" t="s">
        <v>11</v>
      </c>
      <c r="C81" s="130" t="s">
        <v>12</v>
      </c>
      <c r="D81" s="80" t="s">
        <v>13</v>
      </c>
      <c r="E81" s="80" t="s">
        <v>14</v>
      </c>
      <c r="F81" s="80" t="s">
        <v>15</v>
      </c>
      <c r="G81" s="80" t="s">
        <v>16</v>
      </c>
      <c r="H81" s="132" t="s">
        <v>17</v>
      </c>
      <c r="I81" s="134" t="s">
        <v>18</v>
      </c>
      <c r="J81" s="21"/>
    </row>
    <row r="82" spans="2:10" ht="37.65" customHeight="1" x14ac:dyDescent="0.35">
      <c r="B82" s="129"/>
      <c r="C82" s="131"/>
      <c r="D82" s="141" t="s">
        <v>21</v>
      </c>
      <c r="E82" s="142"/>
      <c r="F82" s="142"/>
      <c r="G82" s="143"/>
      <c r="H82" s="133"/>
      <c r="I82" s="135"/>
      <c r="J82" s="21"/>
    </row>
    <row r="83" spans="2:10" x14ac:dyDescent="0.35">
      <c r="B83" s="43">
        <v>4</v>
      </c>
      <c r="C83" s="41" t="s">
        <v>22</v>
      </c>
      <c r="D83" s="22">
        <v>0</v>
      </c>
      <c r="E83" s="22">
        <v>0</v>
      </c>
      <c r="F83" s="61">
        <f>+D83+E83</f>
        <v>0</v>
      </c>
      <c r="G83" s="22">
        <f>+F83</f>
        <v>0</v>
      </c>
      <c r="H83" s="62" t="e">
        <f t="shared" ref="H83:H88" si="9">((G83-I83)/I83)*100</f>
        <v>#DIV/0!</v>
      </c>
      <c r="I83" s="22">
        <v>0</v>
      </c>
      <c r="J83" s="23"/>
    </row>
    <row r="84" spans="2:10" x14ac:dyDescent="0.35">
      <c r="B84" s="43">
        <v>5</v>
      </c>
      <c r="C84" s="41" t="s">
        <v>23</v>
      </c>
      <c r="D84" s="27">
        <v>233713.08</v>
      </c>
      <c r="E84" s="27">
        <v>0</v>
      </c>
      <c r="F84" s="65">
        <f>+E84+D84</f>
        <v>233713.08</v>
      </c>
      <c r="G84" s="27">
        <f>+G83+F84</f>
        <v>233713.08</v>
      </c>
      <c r="H84" s="66">
        <f t="shared" si="9"/>
        <v>248.92668127488312</v>
      </c>
      <c r="I84" s="27">
        <v>66980.570000000007</v>
      </c>
      <c r="J84" s="23"/>
    </row>
    <row r="85" spans="2:10" x14ac:dyDescent="0.35">
      <c r="B85" s="43">
        <v>6</v>
      </c>
      <c r="C85" s="41" t="s">
        <v>24</v>
      </c>
      <c r="D85" s="27">
        <v>477400.58</v>
      </c>
      <c r="E85" s="27">
        <v>0</v>
      </c>
      <c r="F85" s="65">
        <f>+E85+D85</f>
        <v>477400.58</v>
      </c>
      <c r="G85" s="27">
        <f t="shared" ref="G85" si="10">+G84+F85</f>
        <v>711113.66</v>
      </c>
      <c r="H85" s="66">
        <f t="shared" si="9"/>
        <v>62.990274771891343</v>
      </c>
      <c r="I85" s="27">
        <f>+I84+369311.51</f>
        <v>436292.08</v>
      </c>
      <c r="J85" s="23"/>
    </row>
    <row r="86" spans="2:10" x14ac:dyDescent="0.35">
      <c r="B86" s="43">
        <v>7</v>
      </c>
      <c r="C86" s="41" t="s">
        <v>25</v>
      </c>
      <c r="D86" s="27">
        <v>195276.6</v>
      </c>
      <c r="E86" s="27">
        <v>447506</v>
      </c>
      <c r="F86" s="65">
        <f t="shared" ref="F86:F105" si="11">+E86+D86</f>
        <v>642782.6</v>
      </c>
      <c r="G86" s="27">
        <f>+G85+F86</f>
        <v>1353896.26</v>
      </c>
      <c r="H86" s="66">
        <f t="shared" si="9"/>
        <v>54.094443161932915</v>
      </c>
      <c r="I86" s="27">
        <f>+I85+442322.51</f>
        <v>878614.59000000008</v>
      </c>
      <c r="J86" s="23"/>
    </row>
    <row r="87" spans="2:10" x14ac:dyDescent="0.35">
      <c r="B87" s="43">
        <v>8</v>
      </c>
      <c r="C87" s="41" t="s">
        <v>26</v>
      </c>
      <c r="D87" s="27">
        <v>637410.01</v>
      </c>
      <c r="E87" s="27">
        <v>0</v>
      </c>
      <c r="F87" s="65">
        <f t="shared" si="11"/>
        <v>637410.01</v>
      </c>
      <c r="G87" s="27">
        <f t="shared" ref="G87:G88" si="12">+G86+F87</f>
        <v>1991306.27</v>
      </c>
      <c r="H87" s="66">
        <f t="shared" si="9"/>
        <v>1.9515345342059538</v>
      </c>
      <c r="I87" s="27">
        <v>1953189.11</v>
      </c>
      <c r="J87" s="23"/>
    </row>
    <row r="88" spans="2:10" x14ac:dyDescent="0.35">
      <c r="B88" s="43">
        <v>9</v>
      </c>
      <c r="C88" s="41" t="s">
        <v>27</v>
      </c>
      <c r="D88" s="27">
        <v>961223.61</v>
      </c>
      <c r="E88" s="27">
        <v>0</v>
      </c>
      <c r="F88" s="65">
        <f t="shared" si="11"/>
        <v>961223.61</v>
      </c>
      <c r="G88" s="69">
        <f t="shared" si="12"/>
        <v>2952529.88</v>
      </c>
      <c r="H88" s="66">
        <f t="shared" si="9"/>
        <v>10.627243829865844</v>
      </c>
      <c r="I88" s="27">
        <f>+I87+715710.32</f>
        <v>2668899.4300000002</v>
      </c>
      <c r="J88" s="23"/>
    </row>
    <row r="89" spans="2:10" hidden="1" x14ac:dyDescent="0.35">
      <c r="B89" s="11">
        <v>10</v>
      </c>
      <c r="C89" s="17" t="s">
        <v>50</v>
      </c>
      <c r="D89" s="27"/>
      <c r="E89" s="27"/>
      <c r="F89" s="65">
        <f t="shared" si="11"/>
        <v>0</v>
      </c>
      <c r="G89" s="27">
        <f t="shared" ref="G89:G105" si="13">+G88+F89</f>
        <v>2952529.88</v>
      </c>
      <c r="H89" s="66">
        <v>0</v>
      </c>
      <c r="I89" s="27">
        <v>0</v>
      </c>
      <c r="J89" s="23"/>
    </row>
    <row r="90" spans="2:10" hidden="1" x14ac:dyDescent="0.35">
      <c r="B90" s="11">
        <v>11</v>
      </c>
      <c r="C90" s="17" t="s">
        <v>28</v>
      </c>
      <c r="D90" s="27"/>
      <c r="E90" s="27"/>
      <c r="F90" s="65">
        <f t="shared" si="11"/>
        <v>0</v>
      </c>
      <c r="G90" s="27">
        <f t="shared" si="13"/>
        <v>2952529.88</v>
      </c>
      <c r="H90" s="66">
        <v>0</v>
      </c>
      <c r="I90" s="27">
        <v>0</v>
      </c>
      <c r="J90" s="23"/>
    </row>
    <row r="91" spans="2:10" hidden="1" x14ac:dyDescent="0.35">
      <c r="B91" s="11">
        <v>12</v>
      </c>
      <c r="C91" s="17" t="s">
        <v>29</v>
      </c>
      <c r="D91" s="27"/>
      <c r="E91" s="27"/>
      <c r="F91" s="65">
        <f t="shared" si="11"/>
        <v>0</v>
      </c>
      <c r="G91" s="27">
        <f t="shared" si="13"/>
        <v>2952529.88</v>
      </c>
      <c r="H91" s="66">
        <v>0</v>
      </c>
      <c r="I91" s="27">
        <v>0</v>
      </c>
      <c r="J91" s="23"/>
    </row>
    <row r="92" spans="2:10" hidden="1" x14ac:dyDescent="0.35">
      <c r="B92" s="11">
        <v>13</v>
      </c>
      <c r="C92" s="17" t="s">
        <v>30</v>
      </c>
      <c r="D92" s="27"/>
      <c r="E92" s="27"/>
      <c r="F92" s="65">
        <f t="shared" si="11"/>
        <v>0</v>
      </c>
      <c r="G92" s="27">
        <f t="shared" si="13"/>
        <v>2952529.88</v>
      </c>
      <c r="H92" s="66">
        <v>0</v>
      </c>
      <c r="I92" s="27">
        <v>0</v>
      </c>
      <c r="J92" s="23"/>
    </row>
    <row r="93" spans="2:10" hidden="1" x14ac:dyDescent="0.35">
      <c r="B93" s="11">
        <v>14</v>
      </c>
      <c r="C93" s="18" t="s">
        <v>31</v>
      </c>
      <c r="D93" s="27"/>
      <c r="E93" s="27"/>
      <c r="F93" s="65">
        <f t="shared" si="11"/>
        <v>0</v>
      </c>
      <c r="G93" s="27">
        <f t="shared" si="13"/>
        <v>2952529.88</v>
      </c>
      <c r="H93" s="66">
        <v>0</v>
      </c>
      <c r="I93" s="27">
        <v>0</v>
      </c>
      <c r="J93" s="23"/>
    </row>
    <row r="94" spans="2:10" hidden="1" x14ac:dyDescent="0.35">
      <c r="B94" s="11">
        <v>15</v>
      </c>
      <c r="C94" s="17" t="s">
        <v>32</v>
      </c>
      <c r="D94" s="27"/>
      <c r="E94" s="27"/>
      <c r="F94" s="65">
        <f t="shared" si="11"/>
        <v>0</v>
      </c>
      <c r="G94" s="27">
        <f t="shared" si="13"/>
        <v>2952529.88</v>
      </c>
      <c r="H94" s="66">
        <v>0</v>
      </c>
      <c r="I94" s="27">
        <v>0</v>
      </c>
      <c r="J94" s="23"/>
    </row>
    <row r="95" spans="2:10" hidden="1" x14ac:dyDescent="0.35">
      <c r="B95" s="11">
        <v>16</v>
      </c>
      <c r="C95" s="17" t="s">
        <v>33</v>
      </c>
      <c r="D95" s="27"/>
      <c r="E95" s="27"/>
      <c r="F95" s="65">
        <f t="shared" si="11"/>
        <v>0</v>
      </c>
      <c r="G95" s="27">
        <f t="shared" si="13"/>
        <v>2952529.88</v>
      </c>
      <c r="H95" s="66">
        <v>0</v>
      </c>
      <c r="I95" s="27">
        <v>0</v>
      </c>
      <c r="J95" s="23"/>
    </row>
    <row r="96" spans="2:10" hidden="1" x14ac:dyDescent="0.35">
      <c r="B96" s="11">
        <v>17</v>
      </c>
      <c r="C96" s="17" t="s">
        <v>34</v>
      </c>
      <c r="D96" s="27"/>
      <c r="E96" s="27"/>
      <c r="F96" s="65">
        <f t="shared" si="11"/>
        <v>0</v>
      </c>
      <c r="G96" s="27">
        <f t="shared" si="13"/>
        <v>2952529.88</v>
      </c>
      <c r="H96" s="66">
        <v>0</v>
      </c>
      <c r="I96" s="27">
        <v>0</v>
      </c>
      <c r="J96" s="23"/>
    </row>
    <row r="97" spans="2:10" hidden="1" x14ac:dyDescent="0.35">
      <c r="B97" s="11">
        <v>18</v>
      </c>
      <c r="C97" s="17" t="s">
        <v>35</v>
      </c>
      <c r="D97" s="27"/>
      <c r="E97" s="27"/>
      <c r="F97" s="65">
        <f t="shared" si="11"/>
        <v>0</v>
      </c>
      <c r="G97" s="27">
        <f t="shared" si="13"/>
        <v>2952529.88</v>
      </c>
      <c r="H97" s="66">
        <v>0</v>
      </c>
      <c r="I97" s="27">
        <v>0</v>
      </c>
      <c r="J97" s="23"/>
    </row>
    <row r="98" spans="2:10" hidden="1" x14ac:dyDescent="0.35">
      <c r="B98" s="11">
        <v>19</v>
      </c>
      <c r="C98" s="17" t="s">
        <v>36</v>
      </c>
      <c r="D98" s="27"/>
      <c r="E98" s="27"/>
      <c r="F98" s="65">
        <f t="shared" si="11"/>
        <v>0</v>
      </c>
      <c r="G98" s="27">
        <f t="shared" si="13"/>
        <v>2952529.88</v>
      </c>
      <c r="H98" s="66">
        <v>0</v>
      </c>
      <c r="I98" s="27">
        <v>0</v>
      </c>
      <c r="J98" s="23"/>
    </row>
    <row r="99" spans="2:10" hidden="1" x14ac:dyDescent="0.35">
      <c r="B99" s="11">
        <v>20</v>
      </c>
      <c r="C99" s="17" t="s">
        <v>37</v>
      </c>
      <c r="D99" s="27"/>
      <c r="E99" s="27"/>
      <c r="F99" s="65">
        <f t="shared" si="11"/>
        <v>0</v>
      </c>
      <c r="G99" s="27">
        <f t="shared" si="13"/>
        <v>2952529.88</v>
      </c>
      <c r="H99" s="66">
        <v>0</v>
      </c>
      <c r="I99" s="27">
        <v>0</v>
      </c>
      <c r="J99" s="23"/>
    </row>
    <row r="100" spans="2:10" hidden="1" x14ac:dyDescent="0.35">
      <c r="B100" s="11">
        <v>21</v>
      </c>
      <c r="C100" s="17" t="s">
        <v>38</v>
      </c>
      <c r="D100" s="27"/>
      <c r="E100" s="27"/>
      <c r="F100" s="65">
        <f t="shared" si="11"/>
        <v>0</v>
      </c>
      <c r="G100" s="27">
        <f t="shared" si="13"/>
        <v>2952529.88</v>
      </c>
      <c r="H100" s="66">
        <v>0</v>
      </c>
      <c r="I100" s="27">
        <v>0</v>
      </c>
      <c r="J100" s="23"/>
    </row>
    <row r="101" spans="2:10" hidden="1" x14ac:dyDescent="0.35">
      <c r="B101" s="11">
        <v>22</v>
      </c>
      <c r="C101" s="17" t="s">
        <v>39</v>
      </c>
      <c r="D101" s="27"/>
      <c r="E101" s="27"/>
      <c r="F101" s="65">
        <f t="shared" si="11"/>
        <v>0</v>
      </c>
      <c r="G101" s="27">
        <f t="shared" si="13"/>
        <v>2952529.88</v>
      </c>
      <c r="H101" s="66">
        <v>0</v>
      </c>
      <c r="I101" s="27">
        <v>0</v>
      </c>
      <c r="J101" s="23"/>
    </row>
    <row r="102" spans="2:10" hidden="1" x14ac:dyDescent="0.35">
      <c r="B102" s="11">
        <v>23</v>
      </c>
      <c r="C102" s="17" t="s">
        <v>40</v>
      </c>
      <c r="D102" s="27"/>
      <c r="E102" s="27"/>
      <c r="F102" s="65">
        <f t="shared" si="11"/>
        <v>0</v>
      </c>
      <c r="G102" s="27">
        <f t="shared" si="13"/>
        <v>2952529.88</v>
      </c>
      <c r="H102" s="66">
        <v>0</v>
      </c>
      <c r="I102" s="27">
        <v>0</v>
      </c>
      <c r="J102" s="23"/>
    </row>
    <row r="103" spans="2:10" hidden="1" x14ac:dyDescent="0.35">
      <c r="B103" s="11">
        <v>24</v>
      </c>
      <c r="C103" s="17" t="s">
        <v>41</v>
      </c>
      <c r="D103" s="27"/>
      <c r="E103" s="27"/>
      <c r="F103" s="65">
        <f t="shared" si="11"/>
        <v>0</v>
      </c>
      <c r="G103" s="27">
        <f t="shared" si="13"/>
        <v>2952529.88</v>
      </c>
      <c r="H103" s="66">
        <v>0</v>
      </c>
      <c r="I103" s="27">
        <v>0</v>
      </c>
      <c r="J103" s="23"/>
    </row>
    <row r="104" spans="2:10" hidden="1" x14ac:dyDescent="0.35">
      <c r="B104" s="11">
        <v>25</v>
      </c>
      <c r="C104" s="19" t="s">
        <v>42</v>
      </c>
      <c r="D104" s="27"/>
      <c r="E104" s="27"/>
      <c r="F104" s="65">
        <f t="shared" si="11"/>
        <v>0</v>
      </c>
      <c r="G104" s="27">
        <f t="shared" si="13"/>
        <v>2952529.88</v>
      </c>
      <c r="H104" s="66">
        <v>0</v>
      </c>
      <c r="I104" s="27">
        <v>0</v>
      </c>
      <c r="J104" s="23"/>
    </row>
    <row r="105" spans="2:10" hidden="1" x14ac:dyDescent="0.35">
      <c r="B105" s="29">
        <v>26</v>
      </c>
      <c r="C105" s="30" t="s">
        <v>43</v>
      </c>
      <c r="D105" s="34"/>
      <c r="E105" s="34"/>
      <c r="F105" s="94">
        <f t="shared" si="11"/>
        <v>0</v>
      </c>
      <c r="G105" s="34">
        <f t="shared" si="13"/>
        <v>2952529.88</v>
      </c>
      <c r="H105" s="95">
        <v>0</v>
      </c>
      <c r="I105" s="34">
        <v>0</v>
      </c>
      <c r="J105" s="23"/>
    </row>
    <row r="106" spans="2:10" x14ac:dyDescent="0.35">
      <c r="B106" s="5"/>
      <c r="C106" s="5"/>
      <c r="D106" s="6"/>
      <c r="E106" s="6"/>
      <c r="F106" s="6"/>
      <c r="G106" s="6"/>
      <c r="H106" s="6"/>
      <c r="I106" s="6"/>
      <c r="J106" s="5"/>
    </row>
    <row r="107" spans="2:10" x14ac:dyDescent="0.35">
      <c r="B107" s="8" t="s">
        <v>44</v>
      </c>
      <c r="C107" s="5"/>
      <c r="D107" s="6"/>
      <c r="E107" s="6"/>
      <c r="F107" s="6"/>
      <c r="G107" s="6"/>
      <c r="H107" s="6"/>
      <c r="I107" s="6"/>
      <c r="J107" s="5"/>
    </row>
    <row r="108" spans="2:10" x14ac:dyDescent="0.35">
      <c r="B108" s="9" t="s">
        <v>45</v>
      </c>
      <c r="C108" s="5"/>
      <c r="D108" s="6"/>
      <c r="E108" s="6"/>
      <c r="F108" s="6"/>
      <c r="G108" s="6"/>
      <c r="H108" s="6"/>
      <c r="I108" s="6"/>
      <c r="J108" s="5"/>
    </row>
    <row r="109" spans="2:10" x14ac:dyDescent="0.35">
      <c r="B109" s="9" t="s">
        <v>46</v>
      </c>
      <c r="C109" s="5"/>
      <c r="D109" s="6"/>
      <c r="E109" s="6"/>
      <c r="F109" s="6"/>
      <c r="G109" s="6"/>
      <c r="H109" s="6"/>
      <c r="I109" s="6"/>
      <c r="J109" s="5"/>
    </row>
    <row r="110" spans="2:10" x14ac:dyDescent="0.35">
      <c r="B110" s="9" t="s">
        <v>47</v>
      </c>
      <c r="C110" s="5"/>
      <c r="D110" s="6"/>
      <c r="E110" s="6"/>
      <c r="F110" s="6"/>
      <c r="G110" s="6"/>
      <c r="H110" s="6"/>
      <c r="I110" s="6"/>
      <c r="J110" s="5"/>
    </row>
    <row r="113" spans="2:10" ht="18.5" x14ac:dyDescent="0.45">
      <c r="B113" s="10"/>
      <c r="C113" s="10"/>
      <c r="D113" s="138" t="s">
        <v>52</v>
      </c>
      <c r="E113" s="138"/>
      <c r="F113" s="138"/>
      <c r="G113" s="138"/>
      <c r="H113" s="138"/>
      <c r="I113" s="138"/>
      <c r="J113" s="10"/>
    </row>
    <row r="114" spans="2:10" s="38" customFormat="1" ht="16" x14ac:dyDescent="0.4">
      <c r="B114" s="28"/>
      <c r="C114" s="28"/>
      <c r="D114" s="145" t="s">
        <v>53</v>
      </c>
      <c r="E114" s="145"/>
      <c r="F114" s="145"/>
      <c r="G114" s="145"/>
      <c r="H114" s="145"/>
      <c r="I114" s="145"/>
      <c r="J114" s="28"/>
    </row>
    <row r="115" spans="2:10" ht="15.9" customHeight="1" x14ac:dyDescent="0.4">
      <c r="B115" s="124" t="s">
        <v>6</v>
      </c>
      <c r="C115" s="124"/>
      <c r="D115" s="124"/>
      <c r="E115" s="124"/>
      <c r="F115" s="124"/>
      <c r="G115" s="124"/>
      <c r="H115" s="124"/>
      <c r="I115" s="124"/>
      <c r="J115" s="124"/>
    </row>
    <row r="116" spans="2:10" ht="14.4" customHeight="1" x14ac:dyDescent="0.35">
      <c r="B116" s="15"/>
      <c r="C116" s="16"/>
      <c r="D116" s="114" t="s">
        <v>7</v>
      </c>
      <c r="E116" s="115"/>
      <c r="F116" s="115"/>
      <c r="G116" s="116"/>
      <c r="H116" s="117" t="s">
        <v>8</v>
      </c>
      <c r="I116" s="118"/>
      <c r="J116" s="4"/>
    </row>
    <row r="117" spans="2:10" x14ac:dyDescent="0.35">
      <c r="B117" s="13"/>
      <c r="C117" s="14"/>
      <c r="D117" s="121" t="s">
        <v>10</v>
      </c>
      <c r="E117" s="122"/>
      <c r="F117" s="122"/>
      <c r="G117" s="123"/>
      <c r="H117" s="119"/>
      <c r="I117" s="120"/>
      <c r="J117" s="4"/>
    </row>
    <row r="118" spans="2:10" ht="14.4" customHeight="1" x14ac:dyDescent="0.35">
      <c r="B118" s="128" t="s">
        <v>11</v>
      </c>
      <c r="C118" s="130" t="s">
        <v>12</v>
      </c>
      <c r="D118" s="80" t="s">
        <v>13</v>
      </c>
      <c r="E118" s="80" t="s">
        <v>14</v>
      </c>
      <c r="F118" s="80" t="s">
        <v>15</v>
      </c>
      <c r="G118" s="80" t="s">
        <v>16</v>
      </c>
      <c r="H118" s="132" t="s">
        <v>17</v>
      </c>
      <c r="I118" s="134" t="s">
        <v>18</v>
      </c>
      <c r="J118" s="21"/>
    </row>
    <row r="119" spans="2:10" ht="37.4" customHeight="1" x14ac:dyDescent="0.35">
      <c r="B119" s="129"/>
      <c r="C119" s="131"/>
      <c r="D119" s="141" t="s">
        <v>21</v>
      </c>
      <c r="E119" s="142"/>
      <c r="F119" s="142"/>
      <c r="G119" s="143"/>
      <c r="H119" s="133"/>
      <c r="I119" s="135"/>
      <c r="J119" s="21"/>
    </row>
    <row r="120" spans="2:10" x14ac:dyDescent="0.35">
      <c r="B120" s="43">
        <v>4</v>
      </c>
      <c r="C120" s="41" t="s">
        <v>22</v>
      </c>
      <c r="D120" s="22">
        <v>89849</v>
      </c>
      <c r="E120" s="22">
        <v>0</v>
      </c>
      <c r="F120" s="61">
        <f>+D120+E120</f>
        <v>89849</v>
      </c>
      <c r="G120" s="22">
        <f>+F120</f>
        <v>89849</v>
      </c>
      <c r="H120" s="62" t="e">
        <f t="shared" ref="H120:H125" si="14">((G120-I120)/I120)*100</f>
        <v>#DIV/0!</v>
      </c>
      <c r="I120" s="22">
        <v>0</v>
      </c>
      <c r="J120" s="23"/>
    </row>
    <row r="121" spans="2:10" x14ac:dyDescent="0.35">
      <c r="B121" s="43">
        <v>5</v>
      </c>
      <c r="C121" s="41" t="s">
        <v>23</v>
      </c>
      <c r="D121" s="27">
        <v>59869.54</v>
      </c>
      <c r="E121" s="27">
        <v>0</v>
      </c>
      <c r="F121" s="65">
        <f>+E121+D121</f>
        <v>59869.54</v>
      </c>
      <c r="G121" s="27">
        <f>+G120+F121</f>
        <v>149718.54</v>
      </c>
      <c r="H121" s="66">
        <f t="shared" si="14"/>
        <v>-40.756140566013876</v>
      </c>
      <c r="I121" s="27">
        <v>252715.71</v>
      </c>
      <c r="J121" s="23"/>
    </row>
    <row r="122" spans="2:10" x14ac:dyDescent="0.35">
      <c r="B122" s="43">
        <v>6</v>
      </c>
      <c r="C122" s="41" t="s">
        <v>24</v>
      </c>
      <c r="D122" s="27">
        <v>93676.6</v>
      </c>
      <c r="E122" s="27">
        <v>0</v>
      </c>
      <c r="F122" s="65">
        <f>+E122+D122</f>
        <v>93676.6</v>
      </c>
      <c r="G122" s="27">
        <f t="shared" ref="G122" si="15">+G121+F122</f>
        <v>243395.14</v>
      </c>
      <c r="H122" s="66">
        <f t="shared" si="14"/>
        <v>-32.814500388822445</v>
      </c>
      <c r="I122" s="27">
        <f>+I121+109557.61</f>
        <v>362273.32</v>
      </c>
      <c r="J122" s="23"/>
    </row>
    <row r="123" spans="2:10" x14ac:dyDescent="0.35">
      <c r="B123" s="43">
        <v>7</v>
      </c>
      <c r="C123" s="41" t="s">
        <v>25</v>
      </c>
      <c r="D123" s="27">
        <v>24532.03</v>
      </c>
      <c r="E123" s="27">
        <v>0</v>
      </c>
      <c r="F123" s="65">
        <f t="shared" ref="F123:F142" si="16">+E123+D123</f>
        <v>24532.03</v>
      </c>
      <c r="G123" s="27">
        <f>+G122+F123</f>
        <v>267927.17000000004</v>
      </c>
      <c r="H123" s="66">
        <f t="shared" si="14"/>
        <v>-39.581112485989365</v>
      </c>
      <c r="I123" s="27">
        <f>+I122+81176.04</f>
        <v>443449.36</v>
      </c>
      <c r="J123" s="23"/>
    </row>
    <row r="124" spans="2:10" x14ac:dyDescent="0.35">
      <c r="B124" s="43">
        <v>8</v>
      </c>
      <c r="C124" s="41" t="s">
        <v>26</v>
      </c>
      <c r="D124" s="27">
        <v>85676.17</v>
      </c>
      <c r="E124" s="27">
        <v>0</v>
      </c>
      <c r="F124" s="65">
        <f t="shared" si="16"/>
        <v>85676.17</v>
      </c>
      <c r="G124" s="27">
        <f t="shared" ref="G124:G125" si="17">+G123+F124</f>
        <v>353603.34</v>
      </c>
      <c r="H124" s="66">
        <f t="shared" si="14"/>
        <v>-24.692405136806901</v>
      </c>
      <c r="I124" s="27">
        <v>469545.39</v>
      </c>
      <c r="J124" s="23"/>
    </row>
    <row r="125" spans="2:10" x14ac:dyDescent="0.35">
      <c r="B125" s="43">
        <v>9</v>
      </c>
      <c r="C125" s="41" t="s">
        <v>27</v>
      </c>
      <c r="D125" s="27">
        <v>96785.02</v>
      </c>
      <c r="E125" s="27">
        <v>0</v>
      </c>
      <c r="F125" s="65">
        <f t="shared" si="16"/>
        <v>96785.02</v>
      </c>
      <c r="G125" s="70">
        <f t="shared" si="17"/>
        <v>450388.36000000004</v>
      </c>
      <c r="H125" s="66">
        <f t="shared" si="14"/>
        <v>-22.177898802182543</v>
      </c>
      <c r="I125" s="27">
        <f>+I124+109195.55</f>
        <v>578740.94000000006</v>
      </c>
      <c r="J125" s="23"/>
    </row>
    <row r="126" spans="2:10" hidden="1" x14ac:dyDescent="0.35">
      <c r="B126" s="11">
        <v>10</v>
      </c>
      <c r="C126" s="17" t="s">
        <v>50</v>
      </c>
      <c r="D126" s="27"/>
      <c r="E126" s="27"/>
      <c r="F126" s="65">
        <f t="shared" si="16"/>
        <v>0</v>
      </c>
      <c r="G126" s="27">
        <f t="shared" ref="G126:G142" si="18">+G125+F126</f>
        <v>450388.36000000004</v>
      </c>
      <c r="H126" s="66">
        <v>0</v>
      </c>
      <c r="I126" s="27">
        <v>0</v>
      </c>
      <c r="J126" s="23"/>
    </row>
    <row r="127" spans="2:10" hidden="1" x14ac:dyDescent="0.35">
      <c r="B127" s="11">
        <v>11</v>
      </c>
      <c r="C127" s="17" t="s">
        <v>28</v>
      </c>
      <c r="D127" s="27"/>
      <c r="E127" s="27"/>
      <c r="F127" s="65">
        <f t="shared" si="16"/>
        <v>0</v>
      </c>
      <c r="G127" s="27">
        <f t="shared" si="18"/>
        <v>450388.36000000004</v>
      </c>
      <c r="H127" s="66">
        <v>0</v>
      </c>
      <c r="I127" s="27">
        <v>0</v>
      </c>
      <c r="J127" s="23"/>
    </row>
    <row r="128" spans="2:10" hidden="1" x14ac:dyDescent="0.35">
      <c r="B128" s="11">
        <v>12</v>
      </c>
      <c r="C128" s="17" t="s">
        <v>29</v>
      </c>
      <c r="D128" s="27"/>
      <c r="E128" s="27"/>
      <c r="F128" s="65">
        <f t="shared" si="16"/>
        <v>0</v>
      </c>
      <c r="G128" s="27">
        <f t="shared" si="18"/>
        <v>450388.36000000004</v>
      </c>
      <c r="H128" s="66">
        <v>0</v>
      </c>
      <c r="I128" s="27">
        <v>0</v>
      </c>
      <c r="J128" s="23"/>
    </row>
    <row r="129" spans="2:10" hidden="1" x14ac:dyDescent="0.35">
      <c r="B129" s="11">
        <v>13</v>
      </c>
      <c r="C129" s="17" t="s">
        <v>30</v>
      </c>
      <c r="D129" s="27"/>
      <c r="E129" s="27"/>
      <c r="F129" s="65">
        <f t="shared" si="16"/>
        <v>0</v>
      </c>
      <c r="G129" s="27">
        <f t="shared" si="18"/>
        <v>450388.36000000004</v>
      </c>
      <c r="H129" s="66">
        <v>0</v>
      </c>
      <c r="I129" s="27">
        <v>0</v>
      </c>
      <c r="J129" s="23"/>
    </row>
    <row r="130" spans="2:10" hidden="1" x14ac:dyDescent="0.35">
      <c r="B130" s="11">
        <v>14</v>
      </c>
      <c r="C130" s="18" t="s">
        <v>31</v>
      </c>
      <c r="D130" s="27"/>
      <c r="E130" s="27"/>
      <c r="F130" s="65">
        <f t="shared" si="16"/>
        <v>0</v>
      </c>
      <c r="G130" s="27">
        <f t="shared" si="18"/>
        <v>450388.36000000004</v>
      </c>
      <c r="H130" s="66">
        <v>0</v>
      </c>
      <c r="I130" s="27">
        <v>0</v>
      </c>
      <c r="J130" s="23"/>
    </row>
    <row r="131" spans="2:10" hidden="1" x14ac:dyDescent="0.35">
      <c r="B131" s="11">
        <v>15</v>
      </c>
      <c r="C131" s="17" t="s">
        <v>32</v>
      </c>
      <c r="D131" s="27"/>
      <c r="E131" s="27"/>
      <c r="F131" s="65">
        <f t="shared" si="16"/>
        <v>0</v>
      </c>
      <c r="G131" s="27">
        <f t="shared" si="18"/>
        <v>450388.36000000004</v>
      </c>
      <c r="H131" s="66">
        <v>0</v>
      </c>
      <c r="I131" s="27">
        <v>0</v>
      </c>
      <c r="J131" s="23"/>
    </row>
    <row r="132" spans="2:10" hidden="1" x14ac:dyDescent="0.35">
      <c r="B132" s="11">
        <v>16</v>
      </c>
      <c r="C132" s="17" t="s">
        <v>33</v>
      </c>
      <c r="D132" s="27"/>
      <c r="E132" s="27"/>
      <c r="F132" s="65">
        <f t="shared" si="16"/>
        <v>0</v>
      </c>
      <c r="G132" s="27">
        <f t="shared" si="18"/>
        <v>450388.36000000004</v>
      </c>
      <c r="H132" s="66">
        <v>0</v>
      </c>
      <c r="I132" s="27">
        <v>0</v>
      </c>
      <c r="J132" s="23"/>
    </row>
    <row r="133" spans="2:10" hidden="1" x14ac:dyDescent="0.35">
      <c r="B133" s="11">
        <v>17</v>
      </c>
      <c r="C133" s="17" t="s">
        <v>34</v>
      </c>
      <c r="D133" s="27"/>
      <c r="E133" s="27"/>
      <c r="F133" s="65">
        <f t="shared" si="16"/>
        <v>0</v>
      </c>
      <c r="G133" s="27">
        <f t="shared" si="18"/>
        <v>450388.36000000004</v>
      </c>
      <c r="H133" s="66">
        <v>0</v>
      </c>
      <c r="I133" s="27">
        <v>0</v>
      </c>
      <c r="J133" s="23"/>
    </row>
    <row r="134" spans="2:10" hidden="1" x14ac:dyDescent="0.35">
      <c r="B134" s="11">
        <v>18</v>
      </c>
      <c r="C134" s="17" t="s">
        <v>35</v>
      </c>
      <c r="D134" s="27"/>
      <c r="E134" s="27"/>
      <c r="F134" s="65">
        <f t="shared" si="16"/>
        <v>0</v>
      </c>
      <c r="G134" s="27">
        <f t="shared" si="18"/>
        <v>450388.36000000004</v>
      </c>
      <c r="H134" s="66">
        <v>0</v>
      </c>
      <c r="I134" s="27">
        <v>0</v>
      </c>
      <c r="J134" s="23"/>
    </row>
    <row r="135" spans="2:10" hidden="1" x14ac:dyDescent="0.35">
      <c r="B135" s="11">
        <v>19</v>
      </c>
      <c r="C135" s="17" t="s">
        <v>36</v>
      </c>
      <c r="D135" s="27"/>
      <c r="E135" s="27"/>
      <c r="F135" s="65">
        <f t="shared" si="16"/>
        <v>0</v>
      </c>
      <c r="G135" s="27">
        <f t="shared" si="18"/>
        <v>450388.36000000004</v>
      </c>
      <c r="H135" s="66">
        <v>0</v>
      </c>
      <c r="I135" s="27">
        <v>0</v>
      </c>
      <c r="J135" s="23"/>
    </row>
    <row r="136" spans="2:10" hidden="1" x14ac:dyDescent="0.35">
      <c r="B136" s="11">
        <v>20</v>
      </c>
      <c r="C136" s="17" t="s">
        <v>37</v>
      </c>
      <c r="D136" s="27"/>
      <c r="E136" s="27"/>
      <c r="F136" s="65">
        <f t="shared" si="16"/>
        <v>0</v>
      </c>
      <c r="G136" s="27">
        <f t="shared" si="18"/>
        <v>450388.36000000004</v>
      </c>
      <c r="H136" s="66">
        <v>0</v>
      </c>
      <c r="I136" s="27">
        <v>0</v>
      </c>
      <c r="J136" s="23"/>
    </row>
    <row r="137" spans="2:10" hidden="1" x14ac:dyDescent="0.35">
      <c r="B137" s="11">
        <v>21</v>
      </c>
      <c r="C137" s="17" t="s">
        <v>38</v>
      </c>
      <c r="D137" s="27"/>
      <c r="E137" s="27"/>
      <c r="F137" s="65">
        <f t="shared" si="16"/>
        <v>0</v>
      </c>
      <c r="G137" s="27">
        <f t="shared" si="18"/>
        <v>450388.36000000004</v>
      </c>
      <c r="H137" s="66">
        <v>0</v>
      </c>
      <c r="I137" s="27">
        <v>0</v>
      </c>
      <c r="J137" s="23"/>
    </row>
    <row r="138" spans="2:10" hidden="1" x14ac:dyDescent="0.35">
      <c r="B138" s="11">
        <v>22</v>
      </c>
      <c r="C138" s="17" t="s">
        <v>39</v>
      </c>
      <c r="D138" s="27"/>
      <c r="E138" s="27"/>
      <c r="F138" s="65">
        <f t="shared" si="16"/>
        <v>0</v>
      </c>
      <c r="G138" s="27">
        <f t="shared" si="18"/>
        <v>450388.36000000004</v>
      </c>
      <c r="H138" s="66">
        <v>0</v>
      </c>
      <c r="I138" s="27">
        <v>0</v>
      </c>
      <c r="J138" s="23"/>
    </row>
    <row r="139" spans="2:10" hidden="1" x14ac:dyDescent="0.35">
      <c r="B139" s="11">
        <v>23</v>
      </c>
      <c r="C139" s="17" t="s">
        <v>40</v>
      </c>
      <c r="D139" s="27"/>
      <c r="E139" s="27"/>
      <c r="F139" s="65">
        <f t="shared" si="16"/>
        <v>0</v>
      </c>
      <c r="G139" s="27">
        <f t="shared" si="18"/>
        <v>450388.36000000004</v>
      </c>
      <c r="H139" s="66">
        <v>0</v>
      </c>
      <c r="I139" s="27">
        <v>0</v>
      </c>
      <c r="J139" s="23"/>
    </row>
    <row r="140" spans="2:10" hidden="1" x14ac:dyDescent="0.35">
      <c r="B140" s="11">
        <v>24</v>
      </c>
      <c r="C140" s="17" t="s">
        <v>41</v>
      </c>
      <c r="D140" s="27"/>
      <c r="E140" s="27"/>
      <c r="F140" s="65">
        <f t="shared" si="16"/>
        <v>0</v>
      </c>
      <c r="G140" s="27">
        <f t="shared" si="18"/>
        <v>450388.36000000004</v>
      </c>
      <c r="H140" s="66">
        <v>0</v>
      </c>
      <c r="I140" s="27">
        <v>0</v>
      </c>
      <c r="J140" s="23"/>
    </row>
    <row r="141" spans="2:10" hidden="1" x14ac:dyDescent="0.35">
      <c r="B141" s="11">
        <v>25</v>
      </c>
      <c r="C141" s="19" t="s">
        <v>42</v>
      </c>
      <c r="D141" s="27"/>
      <c r="E141" s="27"/>
      <c r="F141" s="65">
        <f t="shared" si="16"/>
        <v>0</v>
      </c>
      <c r="G141" s="27">
        <f t="shared" si="18"/>
        <v>450388.36000000004</v>
      </c>
      <c r="H141" s="66">
        <v>0</v>
      </c>
      <c r="I141" s="27">
        <v>0</v>
      </c>
      <c r="J141" s="23"/>
    </row>
    <row r="142" spans="2:10" hidden="1" x14ac:dyDescent="0.35">
      <c r="B142" s="29">
        <v>26</v>
      </c>
      <c r="C142" s="30" t="s">
        <v>43</v>
      </c>
      <c r="D142" s="34"/>
      <c r="E142" s="34"/>
      <c r="F142" s="94">
        <f t="shared" si="16"/>
        <v>0</v>
      </c>
      <c r="G142" s="34">
        <f t="shared" si="18"/>
        <v>450388.36000000004</v>
      </c>
      <c r="H142" s="95">
        <v>0</v>
      </c>
      <c r="I142" s="34">
        <v>0</v>
      </c>
      <c r="J142" s="23"/>
    </row>
    <row r="143" spans="2:10" x14ac:dyDescent="0.35">
      <c r="B143" s="5"/>
      <c r="C143" s="5"/>
      <c r="D143" s="6"/>
      <c r="E143" s="6"/>
      <c r="F143" s="6"/>
      <c r="G143" s="6"/>
      <c r="H143" s="6"/>
      <c r="I143" s="6"/>
      <c r="J143" s="5"/>
    </row>
    <row r="144" spans="2:10" x14ac:dyDescent="0.35">
      <c r="B144" s="8" t="s">
        <v>44</v>
      </c>
      <c r="C144" s="5"/>
      <c r="D144" s="6"/>
      <c r="E144" s="6"/>
      <c r="F144" s="6"/>
      <c r="G144" s="6"/>
      <c r="H144" s="6"/>
      <c r="I144" s="6"/>
      <c r="J144" s="5"/>
    </row>
    <row r="145" spans="2:10" x14ac:dyDescent="0.35">
      <c r="B145" s="9" t="s">
        <v>45</v>
      </c>
      <c r="C145" s="5"/>
      <c r="D145" s="6"/>
      <c r="E145" s="6"/>
      <c r="F145" s="6"/>
      <c r="G145" s="6"/>
      <c r="H145" s="6"/>
      <c r="I145" s="6"/>
      <c r="J145" s="5"/>
    </row>
    <row r="146" spans="2:10" x14ac:dyDescent="0.35">
      <c r="B146" s="9" t="s">
        <v>46</v>
      </c>
      <c r="C146" s="5"/>
      <c r="D146" s="6"/>
      <c r="E146" s="6"/>
      <c r="F146" s="6"/>
      <c r="G146" s="6"/>
      <c r="H146" s="6"/>
      <c r="I146" s="6"/>
      <c r="J146" s="5"/>
    </row>
    <row r="147" spans="2:10" x14ac:dyDescent="0.35">
      <c r="B147" s="9" t="s">
        <v>47</v>
      </c>
      <c r="C147" s="5"/>
      <c r="D147" s="6"/>
      <c r="E147" s="6"/>
      <c r="F147" s="6"/>
      <c r="G147" s="6"/>
      <c r="H147" s="6"/>
      <c r="I147" s="6"/>
      <c r="J147" s="5"/>
    </row>
  </sheetData>
  <mergeCells count="43">
    <mergeCell ref="D113:I113"/>
    <mergeCell ref="D76:I76"/>
    <mergeCell ref="D39:I39"/>
    <mergeCell ref="D117:G117"/>
    <mergeCell ref="C118:C119"/>
    <mergeCell ref="I118:I119"/>
    <mergeCell ref="D119:G119"/>
    <mergeCell ref="D77:I77"/>
    <mergeCell ref="B78:J78"/>
    <mergeCell ref="D79:G79"/>
    <mergeCell ref="H79:I80"/>
    <mergeCell ref="D80:G80"/>
    <mergeCell ref="B44:B45"/>
    <mergeCell ref="C44:C45"/>
    <mergeCell ref="H44:H45"/>
    <mergeCell ref="I44:I45"/>
    <mergeCell ref="B118:B119"/>
    <mergeCell ref="H118:H119"/>
    <mergeCell ref="D114:I114"/>
    <mergeCell ref="B115:J115"/>
    <mergeCell ref="D116:G116"/>
    <mergeCell ref="H116:I117"/>
    <mergeCell ref="B81:B82"/>
    <mergeCell ref="C81:C82"/>
    <mergeCell ref="H81:H82"/>
    <mergeCell ref="I81:I82"/>
    <mergeCell ref="D82:G82"/>
    <mergeCell ref="D45:G45"/>
    <mergeCell ref="D40:I40"/>
    <mergeCell ref="B41:J41"/>
    <mergeCell ref="D42:G42"/>
    <mergeCell ref="H42:I43"/>
    <mergeCell ref="D43:G43"/>
    <mergeCell ref="B7:B8"/>
    <mergeCell ref="C7:C8"/>
    <mergeCell ref="H7:H8"/>
    <mergeCell ref="I7:I8"/>
    <mergeCell ref="D8:G8"/>
    <mergeCell ref="D3:I3"/>
    <mergeCell ref="B4:J4"/>
    <mergeCell ref="D5:G5"/>
    <mergeCell ref="H5:I6"/>
    <mergeCell ref="D6:G6"/>
  </mergeCells>
  <pageMargins left="0.7" right="0.7" top="0.75" bottom="0.75" header="0.3" footer="0.3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4516E-03D3-4935-B1E2-9E3A265D61A9}">
  <dimension ref="B3:L147"/>
  <sheetViews>
    <sheetView topLeftCell="A110" workbookViewId="0">
      <selection activeCell="H150" sqref="H150"/>
    </sheetView>
  </sheetViews>
  <sheetFormatPr defaultColWidth="9" defaultRowHeight="14.5" x14ac:dyDescent="0.35"/>
  <cols>
    <col min="1" max="1" width="2" style="3" customWidth="1"/>
    <col min="2" max="2" width="6.09765625" style="3" customWidth="1"/>
    <col min="3" max="3" width="25.59765625" style="3" customWidth="1"/>
    <col min="4" max="4" width="18.59765625" style="3" customWidth="1"/>
    <col min="5" max="5" width="13" style="3" customWidth="1"/>
    <col min="6" max="6" width="14.8984375" style="3" customWidth="1"/>
    <col min="7" max="7" width="14.59765625" style="3" customWidth="1"/>
    <col min="8" max="9" width="13" style="3" customWidth="1"/>
    <col min="10" max="16384" width="9" style="3"/>
  </cols>
  <sheetData>
    <row r="3" spans="2:12" s="38" customFormat="1" ht="18.5" x14ac:dyDescent="0.45">
      <c r="B3" s="28"/>
      <c r="C3" s="28"/>
      <c r="D3" s="147" t="s">
        <v>54</v>
      </c>
      <c r="E3" s="147"/>
      <c r="F3" s="147"/>
      <c r="G3" s="147"/>
      <c r="H3" s="147"/>
      <c r="I3" s="147"/>
      <c r="J3" s="28"/>
      <c r="K3" s="39"/>
      <c r="L3" s="2"/>
    </row>
    <row r="4" spans="2:12" ht="15.9" customHeight="1" x14ac:dyDescent="0.4">
      <c r="B4" s="124" t="s">
        <v>6</v>
      </c>
      <c r="C4" s="124"/>
      <c r="D4" s="124"/>
      <c r="E4" s="124"/>
      <c r="F4" s="124"/>
      <c r="G4" s="124"/>
      <c r="H4" s="124"/>
      <c r="I4" s="124"/>
      <c r="J4" s="124"/>
      <c r="K4" s="1"/>
      <c r="L4" s="2"/>
    </row>
    <row r="5" spans="2:12" ht="14.4" customHeight="1" x14ac:dyDescent="0.35">
      <c r="B5" s="15"/>
      <c r="C5" s="16"/>
      <c r="D5" s="148" t="s">
        <v>7</v>
      </c>
      <c r="E5" s="149"/>
      <c r="F5" s="149"/>
      <c r="G5" s="150"/>
      <c r="H5" s="151" t="s">
        <v>8</v>
      </c>
      <c r="I5" s="152"/>
      <c r="J5" s="4"/>
      <c r="K5" s="1"/>
      <c r="L5" s="2"/>
    </row>
    <row r="6" spans="2:12" x14ac:dyDescent="0.35">
      <c r="B6" s="13"/>
      <c r="C6" s="14"/>
      <c r="D6" s="155" t="s">
        <v>10</v>
      </c>
      <c r="E6" s="156"/>
      <c r="F6" s="156"/>
      <c r="G6" s="157"/>
      <c r="H6" s="153"/>
      <c r="I6" s="154"/>
      <c r="J6" s="4"/>
      <c r="K6" s="1"/>
      <c r="L6" s="2"/>
    </row>
    <row r="7" spans="2:12" ht="18.899999999999999" customHeight="1" x14ac:dyDescent="0.35">
      <c r="B7" s="128" t="s">
        <v>11</v>
      </c>
      <c r="C7" s="130" t="s">
        <v>12</v>
      </c>
      <c r="D7" s="20" t="s">
        <v>13</v>
      </c>
      <c r="E7" s="20" t="s">
        <v>14</v>
      </c>
      <c r="F7" s="20" t="s">
        <v>15</v>
      </c>
      <c r="G7" s="20" t="s">
        <v>16</v>
      </c>
      <c r="H7" s="158" t="s">
        <v>17</v>
      </c>
      <c r="I7" s="130" t="s">
        <v>18</v>
      </c>
      <c r="J7" s="21"/>
      <c r="K7" s="1"/>
      <c r="L7" s="2"/>
    </row>
    <row r="8" spans="2:12" ht="35.4" customHeight="1" x14ac:dyDescent="0.35">
      <c r="B8" s="129"/>
      <c r="C8" s="131"/>
      <c r="D8" s="160" t="s">
        <v>21</v>
      </c>
      <c r="E8" s="161"/>
      <c r="F8" s="161"/>
      <c r="G8" s="162"/>
      <c r="H8" s="159"/>
      <c r="I8" s="131"/>
      <c r="J8" s="21"/>
      <c r="K8" s="1"/>
    </row>
    <row r="9" spans="2:12" x14ac:dyDescent="0.35">
      <c r="B9" s="43">
        <v>4</v>
      </c>
      <c r="C9" s="41" t="s">
        <v>22</v>
      </c>
      <c r="D9" s="22">
        <v>132961.5</v>
      </c>
      <c r="E9" s="22">
        <v>0</v>
      </c>
      <c r="F9" s="61">
        <f>+D9+E9</f>
        <v>132961.5</v>
      </c>
      <c r="G9" s="22">
        <f>+F9</f>
        <v>132961.5</v>
      </c>
      <c r="H9" s="62">
        <f t="shared" ref="H9:H14" si="0">((G9-I9)/I9)*100</f>
        <v>517.99442249593312</v>
      </c>
      <c r="I9" s="22">
        <v>21515</v>
      </c>
      <c r="J9" s="23"/>
      <c r="K9" s="1"/>
    </row>
    <row r="10" spans="2:12" x14ac:dyDescent="0.35">
      <c r="B10" s="43">
        <v>5</v>
      </c>
      <c r="C10" s="41" t="s">
        <v>23</v>
      </c>
      <c r="D10" s="27">
        <v>412465.22</v>
      </c>
      <c r="E10" s="27">
        <v>0</v>
      </c>
      <c r="F10" s="65">
        <f>+E10+D10</f>
        <v>412465.22</v>
      </c>
      <c r="G10" s="27">
        <f>+G9+F10</f>
        <v>545426.72</v>
      </c>
      <c r="H10" s="66">
        <f t="shared" si="0"/>
        <v>21.041028790353149</v>
      </c>
      <c r="I10" s="27">
        <f>+I9+429098.09</f>
        <v>450613.09</v>
      </c>
      <c r="J10" s="23"/>
      <c r="K10" s="1"/>
    </row>
    <row r="11" spans="2:12" x14ac:dyDescent="0.35">
      <c r="B11" s="43">
        <v>6</v>
      </c>
      <c r="C11" s="41" t="s">
        <v>24</v>
      </c>
      <c r="D11" s="27">
        <v>838322.14</v>
      </c>
      <c r="E11" s="27">
        <v>0</v>
      </c>
      <c r="F11" s="65">
        <f>+E11+D11</f>
        <v>838322.14</v>
      </c>
      <c r="G11" s="27">
        <f t="shared" ref="G11:G31" si="1">+G10+F11</f>
        <v>1383748.8599999999</v>
      </c>
      <c r="H11" s="66">
        <f t="shared" si="0"/>
        <v>73.250922043105746</v>
      </c>
      <c r="I11" s="27">
        <f>+I10+348083.3</f>
        <v>798696.39</v>
      </c>
      <c r="J11" s="23"/>
      <c r="K11" s="1"/>
    </row>
    <row r="12" spans="2:12" x14ac:dyDescent="0.35">
      <c r="B12" s="43">
        <v>7</v>
      </c>
      <c r="C12" s="41" t="s">
        <v>25</v>
      </c>
      <c r="D12" s="27">
        <v>322426.14</v>
      </c>
      <c r="E12" s="27">
        <v>352980</v>
      </c>
      <c r="F12" s="65">
        <f t="shared" ref="F12:F31" si="2">+E12+D12</f>
        <v>675406.14</v>
      </c>
      <c r="G12" s="27">
        <f>+G11+F12</f>
        <v>2059155</v>
      </c>
      <c r="H12" s="66">
        <f t="shared" si="0"/>
        <v>39.718352802955806</v>
      </c>
      <c r="I12" s="27">
        <f>+I11+675093.53</f>
        <v>1473789.92</v>
      </c>
      <c r="J12" s="23"/>
      <c r="K12" s="1"/>
    </row>
    <row r="13" spans="2:12" x14ac:dyDescent="0.35">
      <c r="B13" s="43">
        <v>8</v>
      </c>
      <c r="C13" s="41" t="s">
        <v>26</v>
      </c>
      <c r="D13" s="27">
        <v>773175.73</v>
      </c>
      <c r="E13" s="27">
        <v>0</v>
      </c>
      <c r="F13" s="65">
        <f>+E13+D13</f>
        <v>773175.73</v>
      </c>
      <c r="G13" s="27">
        <f t="shared" ref="G13:G14" si="3">+G12+F13</f>
        <v>2832330.73</v>
      </c>
      <c r="H13" s="66">
        <f t="shared" si="0"/>
        <v>46.437596039333847</v>
      </c>
      <c r="I13" s="27">
        <v>1934155.44</v>
      </c>
      <c r="J13" s="23"/>
      <c r="K13" s="1"/>
    </row>
    <row r="14" spans="2:12" x14ac:dyDescent="0.35">
      <c r="B14" s="43">
        <v>9</v>
      </c>
      <c r="C14" s="41" t="s">
        <v>27</v>
      </c>
      <c r="D14" s="27">
        <v>729160.26</v>
      </c>
      <c r="E14" s="25"/>
      <c r="F14" s="65">
        <f>+D14+E14</f>
        <v>729160.26</v>
      </c>
      <c r="G14" s="67">
        <f t="shared" si="3"/>
        <v>3561490.99</v>
      </c>
      <c r="H14" s="66">
        <f t="shared" si="0"/>
        <v>36.887881745820856</v>
      </c>
      <c r="I14" s="27">
        <f>+I13+667602.25</f>
        <v>2601757.69</v>
      </c>
      <c r="J14" s="23"/>
      <c r="K14" s="1"/>
    </row>
    <row r="15" spans="2:12" hidden="1" x14ac:dyDescent="0.35">
      <c r="B15" s="11">
        <v>10</v>
      </c>
      <c r="C15" s="17" t="s">
        <v>50</v>
      </c>
      <c r="D15" s="25"/>
      <c r="E15" s="25"/>
      <c r="F15" s="26">
        <f t="shared" si="2"/>
        <v>0</v>
      </c>
      <c r="G15" s="25">
        <f t="shared" si="1"/>
        <v>3561490.99</v>
      </c>
      <c r="H15" s="12">
        <v>0</v>
      </c>
      <c r="I15" s="27">
        <v>0</v>
      </c>
      <c r="J15" s="23"/>
      <c r="K15" s="1"/>
    </row>
    <row r="16" spans="2:12" hidden="1" x14ac:dyDescent="0.35">
      <c r="B16" s="11">
        <v>11</v>
      </c>
      <c r="C16" s="17" t="s">
        <v>28</v>
      </c>
      <c r="D16" s="25"/>
      <c r="E16" s="25"/>
      <c r="F16" s="26">
        <f t="shared" si="2"/>
        <v>0</v>
      </c>
      <c r="G16" s="25">
        <f t="shared" si="1"/>
        <v>3561490.99</v>
      </c>
      <c r="H16" s="12">
        <v>0</v>
      </c>
      <c r="I16" s="27">
        <v>0</v>
      </c>
      <c r="J16" s="23"/>
      <c r="K16" s="1"/>
    </row>
    <row r="17" spans="2:11" hidden="1" x14ac:dyDescent="0.35">
      <c r="B17" s="11">
        <v>12</v>
      </c>
      <c r="C17" s="17" t="s">
        <v>29</v>
      </c>
      <c r="D17" s="25"/>
      <c r="E17" s="25"/>
      <c r="F17" s="26">
        <f t="shared" si="2"/>
        <v>0</v>
      </c>
      <c r="G17" s="25">
        <f t="shared" si="1"/>
        <v>3561490.99</v>
      </c>
      <c r="H17" s="12">
        <v>0</v>
      </c>
      <c r="I17" s="27">
        <v>0</v>
      </c>
      <c r="J17" s="23"/>
      <c r="K17" s="1"/>
    </row>
    <row r="18" spans="2:11" hidden="1" x14ac:dyDescent="0.35">
      <c r="B18" s="11">
        <v>13</v>
      </c>
      <c r="C18" s="17" t="s">
        <v>30</v>
      </c>
      <c r="D18" s="25"/>
      <c r="E18" s="25"/>
      <c r="F18" s="26">
        <f t="shared" si="2"/>
        <v>0</v>
      </c>
      <c r="G18" s="25">
        <f t="shared" si="1"/>
        <v>3561490.99</v>
      </c>
      <c r="H18" s="12">
        <v>0</v>
      </c>
      <c r="I18" s="27">
        <v>0</v>
      </c>
      <c r="J18" s="23"/>
      <c r="K18" s="1"/>
    </row>
    <row r="19" spans="2:11" hidden="1" x14ac:dyDescent="0.35">
      <c r="B19" s="11">
        <v>14</v>
      </c>
      <c r="C19" s="18" t="s">
        <v>31</v>
      </c>
      <c r="D19" s="25"/>
      <c r="E19" s="25"/>
      <c r="F19" s="26">
        <f t="shared" si="2"/>
        <v>0</v>
      </c>
      <c r="G19" s="25">
        <f t="shared" si="1"/>
        <v>3561490.99</v>
      </c>
      <c r="H19" s="12">
        <v>0</v>
      </c>
      <c r="I19" s="27">
        <v>0</v>
      </c>
      <c r="J19" s="23"/>
      <c r="K19" s="1"/>
    </row>
    <row r="20" spans="2:11" hidden="1" x14ac:dyDescent="0.35">
      <c r="B20" s="11">
        <v>15</v>
      </c>
      <c r="C20" s="17" t="s">
        <v>32</v>
      </c>
      <c r="D20" s="25"/>
      <c r="E20" s="25"/>
      <c r="F20" s="26">
        <f t="shared" si="2"/>
        <v>0</v>
      </c>
      <c r="G20" s="25">
        <f t="shared" si="1"/>
        <v>3561490.99</v>
      </c>
      <c r="H20" s="12">
        <v>0</v>
      </c>
      <c r="I20" s="27">
        <v>0</v>
      </c>
      <c r="J20" s="23"/>
      <c r="K20" s="1"/>
    </row>
    <row r="21" spans="2:11" hidden="1" x14ac:dyDescent="0.35">
      <c r="B21" s="11">
        <v>16</v>
      </c>
      <c r="C21" s="17" t="s">
        <v>33</v>
      </c>
      <c r="D21" s="25"/>
      <c r="E21" s="25"/>
      <c r="F21" s="26">
        <f t="shared" si="2"/>
        <v>0</v>
      </c>
      <c r="G21" s="25">
        <f t="shared" si="1"/>
        <v>3561490.99</v>
      </c>
      <c r="H21" s="12">
        <v>0</v>
      </c>
      <c r="I21" s="27">
        <v>0</v>
      </c>
      <c r="J21" s="23"/>
      <c r="K21" s="1"/>
    </row>
    <row r="22" spans="2:11" hidden="1" x14ac:dyDescent="0.35">
      <c r="B22" s="11">
        <v>17</v>
      </c>
      <c r="C22" s="17" t="s">
        <v>34</v>
      </c>
      <c r="D22" s="25"/>
      <c r="E22" s="25"/>
      <c r="F22" s="26">
        <f t="shared" si="2"/>
        <v>0</v>
      </c>
      <c r="G22" s="25">
        <f t="shared" si="1"/>
        <v>3561490.99</v>
      </c>
      <c r="H22" s="12">
        <v>0</v>
      </c>
      <c r="I22" s="27">
        <v>0</v>
      </c>
      <c r="J22" s="23"/>
      <c r="K22" s="1"/>
    </row>
    <row r="23" spans="2:11" hidden="1" x14ac:dyDescent="0.35">
      <c r="B23" s="11">
        <v>18</v>
      </c>
      <c r="C23" s="17" t="s">
        <v>35</v>
      </c>
      <c r="D23" s="25"/>
      <c r="E23" s="25"/>
      <c r="F23" s="26">
        <f t="shared" si="2"/>
        <v>0</v>
      </c>
      <c r="G23" s="25">
        <f t="shared" si="1"/>
        <v>3561490.99</v>
      </c>
      <c r="H23" s="12">
        <v>0</v>
      </c>
      <c r="I23" s="27">
        <v>0</v>
      </c>
      <c r="J23" s="23"/>
      <c r="K23" s="1"/>
    </row>
    <row r="24" spans="2:11" hidden="1" x14ac:dyDescent="0.35">
      <c r="B24" s="11">
        <v>19</v>
      </c>
      <c r="C24" s="17" t="s">
        <v>36</v>
      </c>
      <c r="D24" s="25"/>
      <c r="E24" s="25"/>
      <c r="F24" s="26">
        <f t="shared" si="2"/>
        <v>0</v>
      </c>
      <c r="G24" s="25">
        <f t="shared" si="1"/>
        <v>3561490.99</v>
      </c>
      <c r="H24" s="12">
        <v>0</v>
      </c>
      <c r="I24" s="27">
        <v>0</v>
      </c>
      <c r="J24" s="23"/>
      <c r="K24" s="1"/>
    </row>
    <row r="25" spans="2:11" hidden="1" x14ac:dyDescent="0.35">
      <c r="B25" s="11">
        <v>20</v>
      </c>
      <c r="C25" s="17" t="s">
        <v>37</v>
      </c>
      <c r="D25" s="25"/>
      <c r="E25" s="25"/>
      <c r="F25" s="26">
        <f t="shared" si="2"/>
        <v>0</v>
      </c>
      <c r="G25" s="25">
        <f t="shared" si="1"/>
        <v>3561490.99</v>
      </c>
      <c r="H25" s="12">
        <v>0</v>
      </c>
      <c r="I25" s="27">
        <v>0</v>
      </c>
      <c r="J25" s="23"/>
      <c r="K25" s="1"/>
    </row>
    <row r="26" spans="2:11" hidden="1" x14ac:dyDescent="0.35">
      <c r="B26" s="11">
        <v>21</v>
      </c>
      <c r="C26" s="17" t="s">
        <v>38</v>
      </c>
      <c r="D26" s="25"/>
      <c r="E26" s="25"/>
      <c r="F26" s="26">
        <f t="shared" si="2"/>
        <v>0</v>
      </c>
      <c r="G26" s="25">
        <f t="shared" si="1"/>
        <v>3561490.99</v>
      </c>
      <c r="H26" s="12">
        <v>0</v>
      </c>
      <c r="I26" s="27">
        <v>0</v>
      </c>
      <c r="J26" s="23"/>
      <c r="K26" s="1"/>
    </row>
    <row r="27" spans="2:11" hidden="1" x14ac:dyDescent="0.35">
      <c r="B27" s="11">
        <v>22</v>
      </c>
      <c r="C27" s="17" t="s">
        <v>39</v>
      </c>
      <c r="D27" s="25"/>
      <c r="E27" s="25"/>
      <c r="F27" s="26">
        <f t="shared" si="2"/>
        <v>0</v>
      </c>
      <c r="G27" s="25">
        <f t="shared" si="1"/>
        <v>3561490.99</v>
      </c>
      <c r="H27" s="12">
        <v>0</v>
      </c>
      <c r="I27" s="27">
        <v>0</v>
      </c>
      <c r="J27" s="23"/>
      <c r="K27" s="1"/>
    </row>
    <row r="28" spans="2:11" hidden="1" x14ac:dyDescent="0.35">
      <c r="B28" s="11">
        <v>23</v>
      </c>
      <c r="C28" s="17" t="s">
        <v>40</v>
      </c>
      <c r="D28" s="25"/>
      <c r="E28" s="25"/>
      <c r="F28" s="26">
        <f t="shared" si="2"/>
        <v>0</v>
      </c>
      <c r="G28" s="25">
        <f t="shared" si="1"/>
        <v>3561490.99</v>
      </c>
      <c r="H28" s="12">
        <v>0</v>
      </c>
      <c r="I28" s="27">
        <v>0</v>
      </c>
      <c r="J28" s="23"/>
      <c r="K28" s="1"/>
    </row>
    <row r="29" spans="2:11" hidden="1" x14ac:dyDescent="0.35">
      <c r="B29" s="11">
        <v>24</v>
      </c>
      <c r="C29" s="17" t="s">
        <v>41</v>
      </c>
      <c r="D29" s="25"/>
      <c r="E29" s="25"/>
      <c r="F29" s="26">
        <f t="shared" si="2"/>
        <v>0</v>
      </c>
      <c r="G29" s="25">
        <f t="shared" si="1"/>
        <v>3561490.99</v>
      </c>
      <c r="H29" s="12">
        <v>0</v>
      </c>
      <c r="I29" s="27">
        <v>0</v>
      </c>
      <c r="J29" s="23"/>
      <c r="K29" s="1"/>
    </row>
    <row r="30" spans="2:11" hidden="1" x14ac:dyDescent="0.35">
      <c r="B30" s="11">
        <v>25</v>
      </c>
      <c r="C30" s="19" t="s">
        <v>42</v>
      </c>
      <c r="D30" s="25"/>
      <c r="E30" s="25"/>
      <c r="F30" s="26">
        <f t="shared" si="2"/>
        <v>0</v>
      </c>
      <c r="G30" s="25">
        <f t="shared" si="1"/>
        <v>3561490.99</v>
      </c>
      <c r="H30" s="12">
        <v>0</v>
      </c>
      <c r="I30" s="27">
        <v>0</v>
      </c>
      <c r="J30" s="23"/>
      <c r="K30" s="1"/>
    </row>
    <row r="31" spans="2:11" hidden="1" x14ac:dyDescent="0.35">
      <c r="B31" s="29">
        <v>26</v>
      </c>
      <c r="C31" s="30" t="s">
        <v>43</v>
      </c>
      <c r="D31" s="31"/>
      <c r="E31" s="31"/>
      <c r="F31" s="32">
        <f t="shared" si="2"/>
        <v>0</v>
      </c>
      <c r="G31" s="31">
        <f t="shared" si="1"/>
        <v>3561490.99</v>
      </c>
      <c r="H31" s="33">
        <v>0</v>
      </c>
      <c r="I31" s="34">
        <v>0</v>
      </c>
      <c r="J31" s="23"/>
      <c r="K31" s="1"/>
    </row>
    <row r="32" spans="2:11" x14ac:dyDescent="0.35">
      <c r="B32" s="5"/>
      <c r="C32" s="5"/>
      <c r="D32" s="6"/>
      <c r="E32" s="6"/>
      <c r="F32" s="6"/>
      <c r="G32" s="6"/>
      <c r="H32" s="7"/>
      <c r="I32" s="6"/>
      <c r="J32" s="5"/>
      <c r="K32" s="1"/>
    </row>
    <row r="33" spans="2:11" x14ac:dyDescent="0.35">
      <c r="B33" s="8" t="s">
        <v>44</v>
      </c>
      <c r="C33" s="5"/>
      <c r="D33" s="5"/>
      <c r="E33" s="5"/>
      <c r="F33" s="5"/>
      <c r="G33" s="5"/>
      <c r="H33" s="5"/>
      <c r="I33" s="5"/>
      <c r="J33" s="5"/>
      <c r="K33" s="1"/>
    </row>
    <row r="34" spans="2:11" x14ac:dyDescent="0.35">
      <c r="B34" s="9" t="s">
        <v>45</v>
      </c>
      <c r="C34" s="5"/>
      <c r="D34" s="5"/>
      <c r="E34" s="5"/>
      <c r="F34" s="5"/>
      <c r="G34" s="5"/>
      <c r="H34" s="5"/>
      <c r="I34" s="5"/>
      <c r="J34" s="5"/>
      <c r="K34" s="1"/>
    </row>
    <row r="35" spans="2:11" x14ac:dyDescent="0.35">
      <c r="B35" s="9" t="s">
        <v>46</v>
      </c>
      <c r="C35" s="5"/>
      <c r="D35" s="5"/>
      <c r="E35" s="5"/>
      <c r="F35" s="5"/>
      <c r="G35" s="5"/>
      <c r="H35" s="5"/>
      <c r="I35" s="5"/>
      <c r="J35" s="5"/>
      <c r="K35" s="1"/>
    </row>
    <row r="36" spans="2:11" x14ac:dyDescent="0.35">
      <c r="B36" s="9" t="s">
        <v>47</v>
      </c>
      <c r="C36" s="5"/>
      <c r="D36" s="5"/>
      <c r="E36" s="5"/>
      <c r="F36" s="5"/>
      <c r="G36" s="5"/>
      <c r="H36" s="5"/>
      <c r="I36" s="5"/>
      <c r="J36" s="5"/>
      <c r="K36" s="1"/>
    </row>
    <row r="37" spans="2:11" x14ac:dyDescent="0.35">
      <c r="B37" s="9"/>
      <c r="C37" s="5"/>
      <c r="D37" s="5"/>
      <c r="E37" s="5"/>
      <c r="F37" s="5"/>
      <c r="G37" s="5"/>
      <c r="H37" s="5"/>
      <c r="I37" s="5"/>
      <c r="J37" s="5"/>
      <c r="K37" s="1"/>
    </row>
    <row r="38" spans="2:11" x14ac:dyDescent="0.35">
      <c r="B38" s="9"/>
      <c r="C38" s="5"/>
      <c r="D38" s="5"/>
      <c r="E38" s="5"/>
      <c r="F38" s="5"/>
      <c r="G38" s="5"/>
      <c r="H38" s="5"/>
      <c r="I38" s="5"/>
      <c r="J38" s="5"/>
      <c r="K38" s="1"/>
    </row>
    <row r="39" spans="2:11" ht="18.5" x14ac:dyDescent="0.45">
      <c r="B39" s="10"/>
      <c r="C39" s="10"/>
      <c r="D39" s="163" t="s">
        <v>48</v>
      </c>
      <c r="E39" s="163"/>
      <c r="F39" s="163"/>
      <c r="G39" s="163"/>
      <c r="H39" s="163"/>
      <c r="I39" s="163"/>
      <c r="J39" s="10"/>
    </row>
    <row r="40" spans="2:11" s="38" customFormat="1" ht="16" x14ac:dyDescent="0.4">
      <c r="B40" s="28"/>
      <c r="C40" s="28"/>
      <c r="D40" s="164" t="s">
        <v>54</v>
      </c>
      <c r="E40" s="164"/>
      <c r="F40" s="164"/>
      <c r="G40" s="164"/>
      <c r="H40" s="164"/>
      <c r="I40" s="164"/>
      <c r="J40" s="28"/>
    </row>
    <row r="41" spans="2:11" ht="15.9" customHeight="1" x14ac:dyDescent="0.4">
      <c r="B41" s="124" t="s">
        <v>6</v>
      </c>
      <c r="C41" s="124"/>
      <c r="D41" s="124"/>
      <c r="E41" s="124"/>
      <c r="F41" s="124"/>
      <c r="G41" s="124"/>
      <c r="H41" s="124"/>
      <c r="I41" s="124"/>
      <c r="J41" s="124"/>
    </row>
    <row r="42" spans="2:11" ht="14.4" customHeight="1" x14ac:dyDescent="0.35">
      <c r="B42" s="15"/>
      <c r="C42" s="16"/>
      <c r="D42" s="148" t="s">
        <v>7</v>
      </c>
      <c r="E42" s="149"/>
      <c r="F42" s="149"/>
      <c r="G42" s="150"/>
      <c r="H42" s="151" t="s">
        <v>8</v>
      </c>
      <c r="I42" s="152"/>
      <c r="J42" s="4"/>
    </row>
    <row r="43" spans="2:11" x14ac:dyDescent="0.35">
      <c r="B43" s="13"/>
      <c r="C43" s="14"/>
      <c r="D43" s="155" t="s">
        <v>10</v>
      </c>
      <c r="E43" s="156"/>
      <c r="F43" s="156"/>
      <c r="G43" s="157"/>
      <c r="H43" s="153"/>
      <c r="I43" s="154"/>
      <c r="J43" s="4"/>
    </row>
    <row r="44" spans="2:11" ht="14.4" customHeight="1" x14ac:dyDescent="0.35">
      <c r="B44" s="128" t="s">
        <v>11</v>
      </c>
      <c r="C44" s="130" t="s">
        <v>12</v>
      </c>
      <c r="D44" s="20" t="s">
        <v>13</v>
      </c>
      <c r="E44" s="20" t="s">
        <v>14</v>
      </c>
      <c r="F44" s="20" t="s">
        <v>15</v>
      </c>
      <c r="G44" s="20" t="s">
        <v>16</v>
      </c>
      <c r="H44" s="158" t="s">
        <v>17</v>
      </c>
      <c r="I44" s="130" t="s">
        <v>18</v>
      </c>
      <c r="J44" s="21"/>
    </row>
    <row r="45" spans="2:11" ht="37.65" customHeight="1" x14ac:dyDescent="0.35">
      <c r="B45" s="129"/>
      <c r="C45" s="131"/>
      <c r="D45" s="160" t="s">
        <v>21</v>
      </c>
      <c r="E45" s="161"/>
      <c r="F45" s="161"/>
      <c r="G45" s="162"/>
      <c r="H45" s="159"/>
      <c r="I45" s="131"/>
      <c r="J45" s="21"/>
    </row>
    <row r="46" spans="2:11" x14ac:dyDescent="0.35">
      <c r="B46" s="43">
        <v>4</v>
      </c>
      <c r="C46" s="71" t="s">
        <v>22</v>
      </c>
      <c r="D46" s="72">
        <v>72307.5</v>
      </c>
      <c r="E46" s="72">
        <v>0</v>
      </c>
      <c r="F46" s="73">
        <f>+D46+E46</f>
        <v>72307.5</v>
      </c>
      <c r="G46" s="72">
        <f>+F46</f>
        <v>72307.5</v>
      </c>
      <c r="H46" s="74">
        <f t="shared" ref="H46:H51" si="4">((G46-I46)/I46)*100</f>
        <v>236.07947943295375</v>
      </c>
      <c r="I46" s="72">
        <v>21515</v>
      </c>
      <c r="J46" s="23"/>
    </row>
    <row r="47" spans="2:11" x14ac:dyDescent="0.35">
      <c r="B47" s="43">
        <v>5</v>
      </c>
      <c r="C47" s="71" t="s">
        <v>23</v>
      </c>
      <c r="D47" s="75">
        <v>237441</v>
      </c>
      <c r="E47" s="75">
        <v>0</v>
      </c>
      <c r="F47" s="76">
        <f>+E47+D47</f>
        <v>237441</v>
      </c>
      <c r="G47" s="75">
        <f>+G46+F47</f>
        <v>309748.5</v>
      </c>
      <c r="H47" s="77">
        <f t="shared" si="4"/>
        <v>-3.3713350730216765</v>
      </c>
      <c r="I47" s="75">
        <f>+I46+299040.5</f>
        <v>320555.5</v>
      </c>
      <c r="J47" s="23"/>
    </row>
    <row r="48" spans="2:11" x14ac:dyDescent="0.35">
      <c r="B48" s="43">
        <v>6</v>
      </c>
      <c r="C48" s="71" t="s">
        <v>24</v>
      </c>
      <c r="D48" s="75">
        <v>744454.5</v>
      </c>
      <c r="E48" s="75">
        <v>0</v>
      </c>
      <c r="F48" s="76">
        <f>+E48+D48</f>
        <v>744454.5</v>
      </c>
      <c r="G48" s="75">
        <f t="shared" ref="G48" si="5">+G47+F48</f>
        <v>1054203</v>
      </c>
      <c r="H48" s="77">
        <f t="shared" si="4"/>
        <v>66.462718047065323</v>
      </c>
      <c r="I48" s="75">
        <f>+I47+312741.26</f>
        <v>633296.76</v>
      </c>
      <c r="J48" s="23"/>
    </row>
    <row r="49" spans="2:10" x14ac:dyDescent="0.35">
      <c r="B49" s="43">
        <v>7</v>
      </c>
      <c r="C49" s="71" t="s">
        <v>25</v>
      </c>
      <c r="D49" s="75">
        <v>214041</v>
      </c>
      <c r="E49" s="75">
        <v>340716</v>
      </c>
      <c r="F49" s="76">
        <f t="shared" ref="F49:F68" si="6">+E49+D49</f>
        <v>554757</v>
      </c>
      <c r="G49" s="75">
        <f>+G48+F49</f>
        <v>1608960</v>
      </c>
      <c r="H49" s="77">
        <f t="shared" si="4"/>
        <v>24.75572876226904</v>
      </c>
      <c r="I49" s="75">
        <f>+I48+656391.51</f>
        <v>1289688.27</v>
      </c>
      <c r="J49" s="23"/>
    </row>
    <row r="50" spans="2:10" x14ac:dyDescent="0.35">
      <c r="B50" s="43">
        <v>8</v>
      </c>
      <c r="C50" s="71" t="s">
        <v>26</v>
      </c>
      <c r="D50" s="27">
        <v>556868.52</v>
      </c>
      <c r="E50" s="27">
        <v>0</v>
      </c>
      <c r="F50" s="65">
        <f t="shared" si="6"/>
        <v>556868.52</v>
      </c>
      <c r="G50" s="27">
        <f t="shared" ref="G50:G51" si="7">+G49+F50</f>
        <v>2165828.52</v>
      </c>
      <c r="H50" s="66">
        <f t="shared" si="4"/>
        <v>29.777229216183482</v>
      </c>
      <c r="I50" s="27">
        <v>1668881.77</v>
      </c>
      <c r="J50" s="23"/>
    </row>
    <row r="51" spans="2:10" x14ac:dyDescent="0.35">
      <c r="B51" s="43">
        <v>9</v>
      </c>
      <c r="C51" s="41" t="s">
        <v>27</v>
      </c>
      <c r="D51" s="27">
        <v>500004.5</v>
      </c>
      <c r="E51" s="27"/>
      <c r="F51" s="65">
        <f t="shared" si="6"/>
        <v>500004.5</v>
      </c>
      <c r="G51" s="68">
        <f t="shared" si="7"/>
        <v>2665833.02</v>
      </c>
      <c r="H51" s="66">
        <f t="shared" si="4"/>
        <v>16.589784314282209</v>
      </c>
      <c r="I51" s="27">
        <f>+I50+617624.75</f>
        <v>2286506.52</v>
      </c>
      <c r="J51" s="23"/>
    </row>
    <row r="52" spans="2:10" hidden="1" x14ac:dyDescent="0.35">
      <c r="B52" s="11">
        <v>10</v>
      </c>
      <c r="C52" s="17" t="s">
        <v>50</v>
      </c>
      <c r="D52" s="25"/>
      <c r="E52" s="25"/>
      <c r="F52" s="26">
        <f t="shared" si="6"/>
        <v>0</v>
      </c>
      <c r="G52" s="25">
        <f t="shared" ref="G52:G68" si="8">+G51+F52</f>
        <v>2665833.02</v>
      </c>
      <c r="H52" s="12">
        <v>0</v>
      </c>
      <c r="I52" s="27">
        <v>0</v>
      </c>
      <c r="J52" s="23"/>
    </row>
    <row r="53" spans="2:10" hidden="1" x14ac:dyDescent="0.35">
      <c r="B53" s="11">
        <v>11</v>
      </c>
      <c r="C53" s="17" t="s">
        <v>28</v>
      </c>
      <c r="D53" s="25"/>
      <c r="E53" s="25"/>
      <c r="F53" s="26">
        <f t="shared" si="6"/>
        <v>0</v>
      </c>
      <c r="G53" s="25">
        <f t="shared" si="8"/>
        <v>2665833.02</v>
      </c>
      <c r="H53" s="12">
        <v>0</v>
      </c>
      <c r="I53" s="27">
        <v>0</v>
      </c>
      <c r="J53" s="23"/>
    </row>
    <row r="54" spans="2:10" hidden="1" x14ac:dyDescent="0.35">
      <c r="B54" s="11">
        <v>12</v>
      </c>
      <c r="C54" s="17" t="s">
        <v>29</v>
      </c>
      <c r="D54" s="25"/>
      <c r="E54" s="25"/>
      <c r="F54" s="26">
        <f t="shared" si="6"/>
        <v>0</v>
      </c>
      <c r="G54" s="25">
        <f t="shared" si="8"/>
        <v>2665833.02</v>
      </c>
      <c r="H54" s="12">
        <v>0</v>
      </c>
      <c r="I54" s="27">
        <v>0</v>
      </c>
      <c r="J54" s="23"/>
    </row>
    <row r="55" spans="2:10" hidden="1" x14ac:dyDescent="0.35">
      <c r="B55" s="11">
        <v>13</v>
      </c>
      <c r="C55" s="17" t="s">
        <v>30</v>
      </c>
      <c r="D55" s="25"/>
      <c r="E55" s="25"/>
      <c r="F55" s="26">
        <f t="shared" si="6"/>
        <v>0</v>
      </c>
      <c r="G55" s="25">
        <f t="shared" si="8"/>
        <v>2665833.02</v>
      </c>
      <c r="H55" s="12">
        <v>0</v>
      </c>
      <c r="I55" s="27">
        <v>0</v>
      </c>
      <c r="J55" s="23"/>
    </row>
    <row r="56" spans="2:10" hidden="1" x14ac:dyDescent="0.35">
      <c r="B56" s="11">
        <v>14</v>
      </c>
      <c r="C56" s="18" t="s">
        <v>31</v>
      </c>
      <c r="D56" s="25"/>
      <c r="E56" s="25"/>
      <c r="F56" s="26">
        <f t="shared" si="6"/>
        <v>0</v>
      </c>
      <c r="G56" s="25">
        <f t="shared" si="8"/>
        <v>2665833.02</v>
      </c>
      <c r="H56" s="12">
        <v>0</v>
      </c>
      <c r="I56" s="27">
        <v>0</v>
      </c>
      <c r="J56" s="23"/>
    </row>
    <row r="57" spans="2:10" hidden="1" x14ac:dyDescent="0.35">
      <c r="B57" s="11">
        <v>15</v>
      </c>
      <c r="C57" s="17" t="s">
        <v>32</v>
      </c>
      <c r="D57" s="25"/>
      <c r="E57" s="25"/>
      <c r="F57" s="26">
        <f t="shared" si="6"/>
        <v>0</v>
      </c>
      <c r="G57" s="25">
        <f t="shared" si="8"/>
        <v>2665833.02</v>
      </c>
      <c r="H57" s="12">
        <v>0</v>
      </c>
      <c r="I57" s="27">
        <v>0</v>
      </c>
      <c r="J57" s="23"/>
    </row>
    <row r="58" spans="2:10" hidden="1" x14ac:dyDescent="0.35">
      <c r="B58" s="11">
        <v>16</v>
      </c>
      <c r="C58" s="17" t="s">
        <v>33</v>
      </c>
      <c r="D58" s="25"/>
      <c r="E58" s="25"/>
      <c r="F58" s="26">
        <f t="shared" si="6"/>
        <v>0</v>
      </c>
      <c r="G58" s="25">
        <f t="shared" si="8"/>
        <v>2665833.02</v>
      </c>
      <c r="H58" s="12">
        <v>0</v>
      </c>
      <c r="I58" s="27">
        <v>0</v>
      </c>
      <c r="J58" s="23"/>
    </row>
    <row r="59" spans="2:10" hidden="1" x14ac:dyDescent="0.35">
      <c r="B59" s="11">
        <v>17</v>
      </c>
      <c r="C59" s="17" t="s">
        <v>34</v>
      </c>
      <c r="D59" s="25"/>
      <c r="E59" s="25"/>
      <c r="F59" s="26">
        <f t="shared" si="6"/>
        <v>0</v>
      </c>
      <c r="G59" s="25">
        <f t="shared" si="8"/>
        <v>2665833.02</v>
      </c>
      <c r="H59" s="12">
        <v>0</v>
      </c>
      <c r="I59" s="27">
        <v>0</v>
      </c>
      <c r="J59" s="23"/>
    </row>
    <row r="60" spans="2:10" hidden="1" x14ac:dyDescent="0.35">
      <c r="B60" s="11">
        <v>18</v>
      </c>
      <c r="C60" s="17" t="s">
        <v>35</v>
      </c>
      <c r="D60" s="25"/>
      <c r="E60" s="25"/>
      <c r="F60" s="26">
        <f t="shared" si="6"/>
        <v>0</v>
      </c>
      <c r="G60" s="25">
        <f t="shared" si="8"/>
        <v>2665833.02</v>
      </c>
      <c r="H60" s="12">
        <v>0</v>
      </c>
      <c r="I60" s="27">
        <v>0</v>
      </c>
      <c r="J60" s="23"/>
    </row>
    <row r="61" spans="2:10" hidden="1" x14ac:dyDescent="0.35">
      <c r="B61" s="11">
        <v>19</v>
      </c>
      <c r="C61" s="17" t="s">
        <v>36</v>
      </c>
      <c r="D61" s="25"/>
      <c r="E61" s="25"/>
      <c r="F61" s="26">
        <f t="shared" si="6"/>
        <v>0</v>
      </c>
      <c r="G61" s="25">
        <f t="shared" si="8"/>
        <v>2665833.02</v>
      </c>
      <c r="H61" s="12">
        <v>0</v>
      </c>
      <c r="I61" s="27">
        <v>0</v>
      </c>
      <c r="J61" s="23"/>
    </row>
    <row r="62" spans="2:10" hidden="1" x14ac:dyDescent="0.35">
      <c r="B62" s="11">
        <v>20</v>
      </c>
      <c r="C62" s="17" t="s">
        <v>37</v>
      </c>
      <c r="D62" s="25"/>
      <c r="E62" s="25"/>
      <c r="F62" s="26">
        <f t="shared" si="6"/>
        <v>0</v>
      </c>
      <c r="G62" s="25">
        <f t="shared" si="8"/>
        <v>2665833.02</v>
      </c>
      <c r="H62" s="12">
        <v>0</v>
      </c>
      <c r="I62" s="27">
        <v>0</v>
      </c>
      <c r="J62" s="23"/>
    </row>
    <row r="63" spans="2:10" hidden="1" x14ac:dyDescent="0.35">
      <c r="B63" s="11">
        <v>21</v>
      </c>
      <c r="C63" s="17" t="s">
        <v>38</v>
      </c>
      <c r="D63" s="25"/>
      <c r="E63" s="25"/>
      <c r="F63" s="26">
        <f t="shared" si="6"/>
        <v>0</v>
      </c>
      <c r="G63" s="25">
        <f t="shared" si="8"/>
        <v>2665833.02</v>
      </c>
      <c r="H63" s="12">
        <v>0</v>
      </c>
      <c r="I63" s="27">
        <v>0</v>
      </c>
      <c r="J63" s="23"/>
    </row>
    <row r="64" spans="2:10" hidden="1" x14ac:dyDescent="0.35">
      <c r="B64" s="11">
        <v>22</v>
      </c>
      <c r="C64" s="17" t="s">
        <v>39</v>
      </c>
      <c r="D64" s="25"/>
      <c r="E64" s="25"/>
      <c r="F64" s="26">
        <f t="shared" si="6"/>
        <v>0</v>
      </c>
      <c r="G64" s="25">
        <f t="shared" si="8"/>
        <v>2665833.02</v>
      </c>
      <c r="H64" s="12">
        <v>0</v>
      </c>
      <c r="I64" s="27">
        <v>0</v>
      </c>
      <c r="J64" s="23"/>
    </row>
    <row r="65" spans="2:10" hidden="1" x14ac:dyDescent="0.35">
      <c r="B65" s="11">
        <v>23</v>
      </c>
      <c r="C65" s="17" t="s">
        <v>40</v>
      </c>
      <c r="D65" s="25"/>
      <c r="E65" s="25"/>
      <c r="F65" s="26">
        <f t="shared" si="6"/>
        <v>0</v>
      </c>
      <c r="G65" s="25">
        <f t="shared" si="8"/>
        <v>2665833.02</v>
      </c>
      <c r="H65" s="12">
        <v>0</v>
      </c>
      <c r="I65" s="27">
        <v>0</v>
      </c>
      <c r="J65" s="23"/>
    </row>
    <row r="66" spans="2:10" hidden="1" x14ac:dyDescent="0.35">
      <c r="B66" s="11">
        <v>24</v>
      </c>
      <c r="C66" s="17" t="s">
        <v>41</v>
      </c>
      <c r="D66" s="25"/>
      <c r="E66" s="25"/>
      <c r="F66" s="26">
        <f t="shared" si="6"/>
        <v>0</v>
      </c>
      <c r="G66" s="25">
        <f t="shared" si="8"/>
        <v>2665833.02</v>
      </c>
      <c r="H66" s="12">
        <v>0</v>
      </c>
      <c r="I66" s="27">
        <v>0</v>
      </c>
      <c r="J66" s="23"/>
    </row>
    <row r="67" spans="2:10" hidden="1" x14ac:dyDescent="0.35">
      <c r="B67" s="11">
        <v>25</v>
      </c>
      <c r="C67" s="19" t="s">
        <v>42</v>
      </c>
      <c r="D67" s="25"/>
      <c r="E67" s="25"/>
      <c r="F67" s="26">
        <f t="shared" si="6"/>
        <v>0</v>
      </c>
      <c r="G67" s="25">
        <f t="shared" si="8"/>
        <v>2665833.02</v>
      </c>
      <c r="H67" s="12">
        <v>0</v>
      </c>
      <c r="I67" s="27">
        <v>0</v>
      </c>
      <c r="J67" s="23"/>
    </row>
    <row r="68" spans="2:10" hidden="1" x14ac:dyDescent="0.35">
      <c r="B68" s="29">
        <v>26</v>
      </c>
      <c r="C68" s="30" t="s">
        <v>43</v>
      </c>
      <c r="D68" s="31"/>
      <c r="E68" s="31"/>
      <c r="F68" s="32">
        <f t="shared" si="6"/>
        <v>0</v>
      </c>
      <c r="G68" s="31">
        <f t="shared" si="8"/>
        <v>2665833.02</v>
      </c>
      <c r="H68" s="33">
        <v>0</v>
      </c>
      <c r="I68" s="34">
        <v>0</v>
      </c>
      <c r="J68" s="23"/>
    </row>
    <row r="69" spans="2:10" x14ac:dyDescent="0.35">
      <c r="B69" s="5"/>
      <c r="C69" s="5"/>
      <c r="D69" s="6"/>
      <c r="E69" s="6"/>
      <c r="F69" s="6"/>
      <c r="G69" s="6"/>
      <c r="H69" s="7"/>
      <c r="I69" s="6"/>
      <c r="J69" s="5"/>
    </row>
    <row r="70" spans="2:10" x14ac:dyDescent="0.35">
      <c r="B70" s="8" t="s">
        <v>44</v>
      </c>
      <c r="C70" s="5"/>
      <c r="D70" s="5"/>
      <c r="E70" s="5"/>
      <c r="F70" s="5"/>
      <c r="G70" s="5"/>
      <c r="H70" s="5"/>
      <c r="I70" s="5"/>
      <c r="J70" s="5"/>
    </row>
    <row r="71" spans="2:10" x14ac:dyDescent="0.35">
      <c r="B71" s="9" t="s">
        <v>45</v>
      </c>
      <c r="C71" s="5"/>
      <c r="D71" s="5"/>
      <c r="E71" s="5"/>
      <c r="F71" s="5"/>
      <c r="G71" s="5"/>
      <c r="H71" s="5"/>
      <c r="I71" s="5"/>
      <c r="J71" s="5"/>
    </row>
    <row r="72" spans="2:10" x14ac:dyDescent="0.35">
      <c r="B72" s="9" t="s">
        <v>46</v>
      </c>
      <c r="C72" s="5"/>
      <c r="D72" s="5"/>
      <c r="E72" s="5"/>
      <c r="F72" s="5"/>
      <c r="G72" s="5"/>
      <c r="H72" s="5"/>
      <c r="I72" s="5"/>
      <c r="J72" s="5"/>
    </row>
    <row r="73" spans="2:10" x14ac:dyDescent="0.35">
      <c r="B73" s="9" t="s">
        <v>47</v>
      </c>
      <c r="C73" s="5"/>
      <c r="D73" s="5"/>
      <c r="E73" s="5"/>
      <c r="F73" s="5"/>
      <c r="G73" s="5"/>
      <c r="H73" s="5"/>
      <c r="I73" s="5"/>
      <c r="J73" s="5"/>
    </row>
    <row r="74" spans="2:10" x14ac:dyDescent="0.35">
      <c r="B74" s="10"/>
      <c r="C74" s="10"/>
      <c r="D74" s="10"/>
      <c r="E74" s="10"/>
      <c r="F74" s="10"/>
      <c r="G74" s="10"/>
      <c r="H74" s="10"/>
      <c r="I74" s="10"/>
      <c r="J74" s="10"/>
    </row>
    <row r="75" spans="2:10" x14ac:dyDescent="0.35">
      <c r="B75" s="10"/>
      <c r="C75" s="10"/>
      <c r="D75" s="10"/>
      <c r="E75" s="10"/>
      <c r="F75" s="10"/>
      <c r="G75" s="10"/>
      <c r="H75" s="10"/>
      <c r="I75" s="10"/>
      <c r="J75" s="10"/>
    </row>
    <row r="76" spans="2:10" ht="18.5" x14ac:dyDescent="0.45">
      <c r="B76" s="10"/>
      <c r="C76" s="10"/>
      <c r="D76" s="165" t="s">
        <v>51</v>
      </c>
      <c r="E76" s="165"/>
      <c r="F76" s="165"/>
      <c r="G76" s="165"/>
      <c r="H76" s="165"/>
      <c r="I76" s="165"/>
      <c r="J76" s="10"/>
    </row>
    <row r="77" spans="2:10" s="38" customFormat="1" ht="16" x14ac:dyDescent="0.4">
      <c r="B77" s="28"/>
      <c r="C77" s="28"/>
      <c r="D77" s="166" t="s">
        <v>54</v>
      </c>
      <c r="E77" s="166"/>
      <c r="F77" s="166"/>
      <c r="G77" s="166"/>
      <c r="H77" s="166"/>
      <c r="I77" s="166"/>
      <c r="J77" s="28"/>
    </row>
    <row r="78" spans="2:10" ht="15.9" customHeight="1" x14ac:dyDescent="0.4">
      <c r="B78" s="124" t="s">
        <v>6</v>
      </c>
      <c r="C78" s="124"/>
      <c r="D78" s="124"/>
      <c r="E78" s="124"/>
      <c r="F78" s="124"/>
      <c r="G78" s="124"/>
      <c r="H78" s="124"/>
      <c r="I78" s="124"/>
      <c r="J78" s="124"/>
    </row>
    <row r="79" spans="2:10" ht="14.4" customHeight="1" x14ac:dyDescent="0.35">
      <c r="B79" s="15"/>
      <c r="C79" s="16"/>
      <c r="D79" s="148" t="s">
        <v>7</v>
      </c>
      <c r="E79" s="149"/>
      <c r="F79" s="149"/>
      <c r="G79" s="150"/>
      <c r="H79" s="151" t="s">
        <v>8</v>
      </c>
      <c r="I79" s="152"/>
      <c r="J79" s="4"/>
    </row>
    <row r="80" spans="2:10" x14ac:dyDescent="0.35">
      <c r="B80" s="13"/>
      <c r="C80" s="14"/>
      <c r="D80" s="155" t="s">
        <v>10</v>
      </c>
      <c r="E80" s="156"/>
      <c r="F80" s="156"/>
      <c r="G80" s="157"/>
      <c r="H80" s="153"/>
      <c r="I80" s="154"/>
      <c r="J80" s="4"/>
    </row>
    <row r="81" spans="2:10" ht="14.4" customHeight="1" x14ac:dyDescent="0.35">
      <c r="B81" s="128" t="s">
        <v>11</v>
      </c>
      <c r="C81" s="130" t="s">
        <v>12</v>
      </c>
      <c r="D81" s="20" t="s">
        <v>13</v>
      </c>
      <c r="E81" s="20" t="s">
        <v>14</v>
      </c>
      <c r="F81" s="20" t="s">
        <v>15</v>
      </c>
      <c r="G81" s="20" t="s">
        <v>16</v>
      </c>
      <c r="H81" s="158" t="s">
        <v>17</v>
      </c>
      <c r="I81" s="130" t="s">
        <v>18</v>
      </c>
      <c r="J81" s="21"/>
    </row>
    <row r="82" spans="2:10" ht="39" customHeight="1" x14ac:dyDescent="0.35">
      <c r="B82" s="129"/>
      <c r="C82" s="131"/>
      <c r="D82" s="160" t="s">
        <v>21</v>
      </c>
      <c r="E82" s="161"/>
      <c r="F82" s="161"/>
      <c r="G82" s="162"/>
      <c r="H82" s="159"/>
      <c r="I82" s="131"/>
      <c r="J82" s="21"/>
    </row>
    <row r="83" spans="2:10" x14ac:dyDescent="0.35">
      <c r="B83" s="43">
        <v>4</v>
      </c>
      <c r="C83" s="41" t="s">
        <v>22</v>
      </c>
      <c r="D83" s="22">
        <v>0</v>
      </c>
      <c r="E83" s="22">
        <v>0</v>
      </c>
      <c r="F83" s="61">
        <f>+D83+E83</f>
        <v>0</v>
      </c>
      <c r="G83" s="22">
        <f>+F83</f>
        <v>0</v>
      </c>
      <c r="H83" s="62" t="e">
        <f t="shared" ref="H83:H88" si="9">((G83-I83)/I83)*100</f>
        <v>#DIV/0!</v>
      </c>
      <c r="I83" s="22">
        <v>0</v>
      </c>
      <c r="J83" s="23"/>
    </row>
    <row r="84" spans="2:10" x14ac:dyDescent="0.35">
      <c r="B84" s="43">
        <v>5</v>
      </c>
      <c r="C84" s="41" t="s">
        <v>23</v>
      </c>
      <c r="D84" s="27">
        <v>108465.11</v>
      </c>
      <c r="E84" s="27">
        <v>0</v>
      </c>
      <c r="F84" s="65">
        <f>+E84+D84</f>
        <v>108465.11</v>
      </c>
      <c r="G84" s="27">
        <f>+G83+F84</f>
        <v>108465.11</v>
      </c>
      <c r="H84" s="66">
        <f t="shared" si="9"/>
        <v>417.09049944603464</v>
      </c>
      <c r="I84" s="27">
        <v>20976.04</v>
      </c>
      <c r="J84" s="23"/>
    </row>
    <row r="85" spans="2:10" x14ac:dyDescent="0.35">
      <c r="B85" s="43">
        <v>6</v>
      </c>
      <c r="C85" s="41" t="s">
        <v>24</v>
      </c>
      <c r="D85" s="27">
        <v>47860.06</v>
      </c>
      <c r="E85" s="27">
        <v>0</v>
      </c>
      <c r="F85" s="65">
        <f>+E85+D85</f>
        <v>47860.06</v>
      </c>
      <c r="G85" s="27">
        <f t="shared" ref="G85" si="10">+G84+F85</f>
        <v>156325.16999999998</v>
      </c>
      <c r="H85" s="66">
        <f t="shared" si="9"/>
        <v>420.20735061421487</v>
      </c>
      <c r="I85" s="27">
        <f>+I84+9074.51</f>
        <v>30050.550000000003</v>
      </c>
      <c r="J85" s="23"/>
    </row>
    <row r="86" spans="2:10" x14ac:dyDescent="0.35">
      <c r="B86" s="43">
        <v>7</v>
      </c>
      <c r="C86" s="41" t="s">
        <v>25</v>
      </c>
      <c r="D86" s="27">
        <v>62863.09</v>
      </c>
      <c r="E86" s="27">
        <v>12264</v>
      </c>
      <c r="F86" s="65">
        <f t="shared" ref="F86:F105" si="11">+E86+D86</f>
        <v>75127.09</v>
      </c>
      <c r="G86" s="27">
        <f>+G85+F86</f>
        <v>231452.25999999998</v>
      </c>
      <c r="H86" s="66">
        <f t="shared" si="9"/>
        <v>438.93699702906446</v>
      </c>
      <c r="I86" s="27">
        <f>+I85+12895.52</f>
        <v>42946.070000000007</v>
      </c>
      <c r="J86" s="23"/>
    </row>
    <row r="87" spans="2:10" x14ac:dyDescent="0.35">
      <c r="B87" s="43">
        <v>8</v>
      </c>
      <c r="C87" s="41" t="s">
        <v>26</v>
      </c>
      <c r="D87" s="27">
        <v>59478.51</v>
      </c>
      <c r="E87" s="27">
        <v>0</v>
      </c>
      <c r="F87" s="65">
        <f t="shared" si="11"/>
        <v>59478.51</v>
      </c>
      <c r="G87" s="27">
        <f t="shared" ref="G87:G88" si="12">+G86+F87</f>
        <v>290930.76999999996</v>
      </c>
      <c r="H87" s="66">
        <f t="shared" si="9"/>
        <v>135.06026044249188</v>
      </c>
      <c r="I87" s="27">
        <v>123768.59</v>
      </c>
      <c r="J87" s="23"/>
    </row>
    <row r="88" spans="2:10" x14ac:dyDescent="0.35">
      <c r="B88" s="43">
        <v>9</v>
      </c>
      <c r="C88" s="41" t="s">
        <v>27</v>
      </c>
      <c r="D88" s="27">
        <v>163305.13</v>
      </c>
      <c r="E88" s="27">
        <v>0</v>
      </c>
      <c r="F88" s="65">
        <f t="shared" si="11"/>
        <v>163305.13</v>
      </c>
      <c r="G88" s="69">
        <f t="shared" si="12"/>
        <v>454235.89999999997</v>
      </c>
      <c r="H88" s="66">
        <f t="shared" si="9"/>
        <v>190.41064028567189</v>
      </c>
      <c r="I88" s="27">
        <f>+I87+32643</f>
        <v>156411.59</v>
      </c>
      <c r="J88" s="23"/>
    </row>
    <row r="89" spans="2:10" hidden="1" x14ac:dyDescent="0.35">
      <c r="B89" s="11">
        <v>10</v>
      </c>
      <c r="C89" s="17" t="s">
        <v>50</v>
      </c>
      <c r="D89" s="25"/>
      <c r="E89" s="25"/>
      <c r="F89" s="26">
        <f t="shared" si="11"/>
        <v>0</v>
      </c>
      <c r="G89" s="25">
        <f t="shared" ref="G89:G105" si="13">+G88+F89</f>
        <v>454235.89999999997</v>
      </c>
      <c r="H89" s="12">
        <v>0</v>
      </c>
      <c r="I89" s="27">
        <v>0</v>
      </c>
      <c r="J89" s="23"/>
    </row>
    <row r="90" spans="2:10" hidden="1" x14ac:dyDescent="0.35">
      <c r="B90" s="11">
        <v>11</v>
      </c>
      <c r="C90" s="17" t="s">
        <v>28</v>
      </c>
      <c r="D90" s="25"/>
      <c r="E90" s="25"/>
      <c r="F90" s="26">
        <f t="shared" si="11"/>
        <v>0</v>
      </c>
      <c r="G90" s="25">
        <f t="shared" si="13"/>
        <v>454235.89999999997</v>
      </c>
      <c r="H90" s="12">
        <v>0</v>
      </c>
      <c r="I90" s="27">
        <v>0</v>
      </c>
      <c r="J90" s="23"/>
    </row>
    <row r="91" spans="2:10" hidden="1" x14ac:dyDescent="0.35">
      <c r="B91" s="11">
        <v>12</v>
      </c>
      <c r="C91" s="17" t="s">
        <v>29</v>
      </c>
      <c r="D91" s="25"/>
      <c r="E91" s="25"/>
      <c r="F91" s="26">
        <f t="shared" si="11"/>
        <v>0</v>
      </c>
      <c r="G91" s="25">
        <f t="shared" si="13"/>
        <v>454235.89999999997</v>
      </c>
      <c r="H91" s="12">
        <v>0</v>
      </c>
      <c r="I91" s="27">
        <v>0</v>
      </c>
      <c r="J91" s="23"/>
    </row>
    <row r="92" spans="2:10" hidden="1" x14ac:dyDescent="0.35">
      <c r="B92" s="11">
        <v>13</v>
      </c>
      <c r="C92" s="17" t="s">
        <v>30</v>
      </c>
      <c r="D92" s="25"/>
      <c r="E92" s="25"/>
      <c r="F92" s="26">
        <f t="shared" si="11"/>
        <v>0</v>
      </c>
      <c r="G92" s="25">
        <f t="shared" si="13"/>
        <v>454235.89999999997</v>
      </c>
      <c r="H92" s="12">
        <v>0</v>
      </c>
      <c r="I92" s="27">
        <v>0</v>
      </c>
      <c r="J92" s="23"/>
    </row>
    <row r="93" spans="2:10" hidden="1" x14ac:dyDescent="0.35">
      <c r="B93" s="11">
        <v>14</v>
      </c>
      <c r="C93" s="18" t="s">
        <v>31</v>
      </c>
      <c r="D93" s="25"/>
      <c r="E93" s="25"/>
      <c r="F93" s="26">
        <f t="shared" si="11"/>
        <v>0</v>
      </c>
      <c r="G93" s="25">
        <f t="shared" si="13"/>
        <v>454235.89999999997</v>
      </c>
      <c r="H93" s="12">
        <v>0</v>
      </c>
      <c r="I93" s="27">
        <v>0</v>
      </c>
      <c r="J93" s="23"/>
    </row>
    <row r="94" spans="2:10" hidden="1" x14ac:dyDescent="0.35">
      <c r="B94" s="11">
        <v>15</v>
      </c>
      <c r="C94" s="17" t="s">
        <v>32</v>
      </c>
      <c r="D94" s="25"/>
      <c r="E94" s="25"/>
      <c r="F94" s="26">
        <f t="shared" si="11"/>
        <v>0</v>
      </c>
      <c r="G94" s="25">
        <f t="shared" si="13"/>
        <v>454235.89999999997</v>
      </c>
      <c r="H94" s="12">
        <v>0</v>
      </c>
      <c r="I94" s="27">
        <v>0</v>
      </c>
      <c r="J94" s="23"/>
    </row>
    <row r="95" spans="2:10" hidden="1" x14ac:dyDescent="0.35">
      <c r="B95" s="11">
        <v>16</v>
      </c>
      <c r="C95" s="17" t="s">
        <v>33</v>
      </c>
      <c r="D95" s="25"/>
      <c r="E95" s="25"/>
      <c r="F95" s="26">
        <f t="shared" si="11"/>
        <v>0</v>
      </c>
      <c r="G95" s="25">
        <f t="shared" si="13"/>
        <v>454235.89999999997</v>
      </c>
      <c r="H95" s="12">
        <v>0</v>
      </c>
      <c r="I95" s="27">
        <v>0</v>
      </c>
      <c r="J95" s="23"/>
    </row>
    <row r="96" spans="2:10" hidden="1" x14ac:dyDescent="0.35">
      <c r="B96" s="11">
        <v>17</v>
      </c>
      <c r="C96" s="17" t="s">
        <v>34</v>
      </c>
      <c r="D96" s="25"/>
      <c r="E96" s="25"/>
      <c r="F96" s="26">
        <f t="shared" si="11"/>
        <v>0</v>
      </c>
      <c r="G96" s="25">
        <f t="shared" si="13"/>
        <v>454235.89999999997</v>
      </c>
      <c r="H96" s="12">
        <v>0</v>
      </c>
      <c r="I96" s="27">
        <v>0</v>
      </c>
      <c r="J96" s="23"/>
    </row>
    <row r="97" spans="2:10" hidden="1" x14ac:dyDescent="0.35">
      <c r="B97" s="11">
        <v>18</v>
      </c>
      <c r="C97" s="17" t="s">
        <v>35</v>
      </c>
      <c r="D97" s="25"/>
      <c r="E97" s="25"/>
      <c r="F97" s="26">
        <f t="shared" si="11"/>
        <v>0</v>
      </c>
      <c r="G97" s="25">
        <f t="shared" si="13"/>
        <v>454235.89999999997</v>
      </c>
      <c r="H97" s="12">
        <v>0</v>
      </c>
      <c r="I97" s="27">
        <v>0</v>
      </c>
      <c r="J97" s="23"/>
    </row>
    <row r="98" spans="2:10" hidden="1" x14ac:dyDescent="0.35">
      <c r="B98" s="11">
        <v>19</v>
      </c>
      <c r="C98" s="17" t="s">
        <v>36</v>
      </c>
      <c r="D98" s="25"/>
      <c r="E98" s="25"/>
      <c r="F98" s="26">
        <f t="shared" si="11"/>
        <v>0</v>
      </c>
      <c r="G98" s="25">
        <f t="shared" si="13"/>
        <v>454235.89999999997</v>
      </c>
      <c r="H98" s="12">
        <v>0</v>
      </c>
      <c r="I98" s="27">
        <v>0</v>
      </c>
      <c r="J98" s="23"/>
    </row>
    <row r="99" spans="2:10" hidden="1" x14ac:dyDescent="0.35">
      <c r="B99" s="11">
        <v>20</v>
      </c>
      <c r="C99" s="17" t="s">
        <v>37</v>
      </c>
      <c r="D99" s="25"/>
      <c r="E99" s="25"/>
      <c r="F99" s="26">
        <f t="shared" si="11"/>
        <v>0</v>
      </c>
      <c r="G99" s="25">
        <f t="shared" si="13"/>
        <v>454235.89999999997</v>
      </c>
      <c r="H99" s="12">
        <v>0</v>
      </c>
      <c r="I99" s="27">
        <v>0</v>
      </c>
      <c r="J99" s="23"/>
    </row>
    <row r="100" spans="2:10" hidden="1" x14ac:dyDescent="0.35">
      <c r="B100" s="11">
        <v>21</v>
      </c>
      <c r="C100" s="17" t="s">
        <v>38</v>
      </c>
      <c r="D100" s="25"/>
      <c r="E100" s="25"/>
      <c r="F100" s="26">
        <f t="shared" si="11"/>
        <v>0</v>
      </c>
      <c r="G100" s="25">
        <f t="shared" si="13"/>
        <v>454235.89999999997</v>
      </c>
      <c r="H100" s="12">
        <v>0</v>
      </c>
      <c r="I100" s="27">
        <v>0</v>
      </c>
      <c r="J100" s="23"/>
    </row>
    <row r="101" spans="2:10" hidden="1" x14ac:dyDescent="0.35">
      <c r="B101" s="11">
        <v>22</v>
      </c>
      <c r="C101" s="17" t="s">
        <v>39</v>
      </c>
      <c r="D101" s="25"/>
      <c r="E101" s="25"/>
      <c r="F101" s="26">
        <f t="shared" si="11"/>
        <v>0</v>
      </c>
      <c r="G101" s="25">
        <f t="shared" si="13"/>
        <v>454235.89999999997</v>
      </c>
      <c r="H101" s="12">
        <v>0</v>
      </c>
      <c r="I101" s="27">
        <v>0</v>
      </c>
      <c r="J101" s="23"/>
    </row>
    <row r="102" spans="2:10" hidden="1" x14ac:dyDescent="0.35">
      <c r="B102" s="11">
        <v>23</v>
      </c>
      <c r="C102" s="17" t="s">
        <v>40</v>
      </c>
      <c r="D102" s="25"/>
      <c r="E102" s="25"/>
      <c r="F102" s="26">
        <f t="shared" si="11"/>
        <v>0</v>
      </c>
      <c r="G102" s="25">
        <f t="shared" si="13"/>
        <v>454235.89999999997</v>
      </c>
      <c r="H102" s="12">
        <v>0</v>
      </c>
      <c r="I102" s="27">
        <v>0</v>
      </c>
      <c r="J102" s="23"/>
    </row>
    <row r="103" spans="2:10" hidden="1" x14ac:dyDescent="0.35">
      <c r="B103" s="11">
        <v>24</v>
      </c>
      <c r="C103" s="17" t="s">
        <v>41</v>
      </c>
      <c r="D103" s="25"/>
      <c r="E103" s="25"/>
      <c r="F103" s="26">
        <f t="shared" si="11"/>
        <v>0</v>
      </c>
      <c r="G103" s="25">
        <f t="shared" si="13"/>
        <v>454235.89999999997</v>
      </c>
      <c r="H103" s="12">
        <v>0</v>
      </c>
      <c r="I103" s="27">
        <v>0</v>
      </c>
      <c r="J103" s="23"/>
    </row>
    <row r="104" spans="2:10" hidden="1" x14ac:dyDescent="0.35">
      <c r="B104" s="11">
        <v>25</v>
      </c>
      <c r="C104" s="19" t="s">
        <v>42</v>
      </c>
      <c r="D104" s="25"/>
      <c r="E104" s="25"/>
      <c r="F104" s="26">
        <f t="shared" si="11"/>
        <v>0</v>
      </c>
      <c r="G104" s="25">
        <f t="shared" si="13"/>
        <v>454235.89999999997</v>
      </c>
      <c r="H104" s="12">
        <v>0</v>
      </c>
      <c r="I104" s="27">
        <v>0</v>
      </c>
      <c r="J104" s="23"/>
    </row>
    <row r="105" spans="2:10" hidden="1" x14ac:dyDescent="0.35">
      <c r="B105" s="29">
        <v>26</v>
      </c>
      <c r="C105" s="30" t="s">
        <v>43</v>
      </c>
      <c r="D105" s="31"/>
      <c r="E105" s="31"/>
      <c r="F105" s="32">
        <f t="shared" si="11"/>
        <v>0</v>
      </c>
      <c r="G105" s="31">
        <f t="shared" si="13"/>
        <v>454235.89999999997</v>
      </c>
      <c r="H105" s="33">
        <v>0</v>
      </c>
      <c r="I105" s="34">
        <v>0</v>
      </c>
      <c r="J105" s="23"/>
    </row>
    <row r="106" spans="2:10" x14ac:dyDescent="0.35">
      <c r="B106" s="5"/>
      <c r="C106" s="5"/>
      <c r="D106" s="6"/>
      <c r="E106" s="6"/>
      <c r="F106" s="6"/>
      <c r="G106" s="6"/>
      <c r="H106" s="7"/>
      <c r="I106" s="6"/>
      <c r="J106" s="5"/>
    </row>
    <row r="107" spans="2:10" x14ac:dyDescent="0.35">
      <c r="B107" s="8" t="s">
        <v>44</v>
      </c>
      <c r="C107" s="5"/>
      <c r="D107" s="5"/>
      <c r="E107" s="5"/>
      <c r="F107" s="5"/>
      <c r="G107" s="5"/>
      <c r="H107" s="5"/>
      <c r="I107" s="5"/>
      <c r="J107" s="5"/>
    </row>
    <row r="108" spans="2:10" x14ac:dyDescent="0.35">
      <c r="B108" s="9" t="s">
        <v>45</v>
      </c>
      <c r="C108" s="5"/>
      <c r="D108" s="5"/>
      <c r="E108" s="5"/>
      <c r="F108" s="5"/>
      <c r="G108" s="5"/>
      <c r="H108" s="5"/>
      <c r="I108" s="5"/>
      <c r="J108" s="5"/>
    </row>
    <row r="109" spans="2:10" x14ac:dyDescent="0.35">
      <c r="B109" s="9" t="s">
        <v>46</v>
      </c>
      <c r="C109" s="5"/>
      <c r="D109" s="5"/>
      <c r="E109" s="5"/>
      <c r="F109" s="5"/>
      <c r="G109" s="5"/>
      <c r="H109" s="5"/>
      <c r="I109" s="5"/>
      <c r="J109" s="5"/>
    </row>
    <row r="110" spans="2:10" x14ac:dyDescent="0.35">
      <c r="B110" s="9" t="s">
        <v>47</v>
      </c>
      <c r="C110" s="5"/>
      <c r="D110" s="5"/>
      <c r="E110" s="5"/>
      <c r="F110" s="5"/>
      <c r="G110" s="5"/>
      <c r="H110" s="5"/>
      <c r="I110" s="5"/>
      <c r="J110" s="5"/>
    </row>
    <row r="113" spans="2:10" ht="18.5" x14ac:dyDescent="0.45">
      <c r="B113" s="10"/>
      <c r="C113" s="10"/>
      <c r="D113" s="167" t="s">
        <v>52</v>
      </c>
      <c r="E113" s="167"/>
      <c r="F113" s="167"/>
      <c r="G113" s="167"/>
      <c r="H113" s="167"/>
      <c r="I113" s="167"/>
      <c r="J113" s="10"/>
    </row>
    <row r="114" spans="2:10" s="38" customFormat="1" ht="16" x14ac:dyDescent="0.4">
      <c r="B114" s="28"/>
      <c r="C114" s="28"/>
      <c r="D114" s="168" t="s">
        <v>54</v>
      </c>
      <c r="E114" s="168"/>
      <c r="F114" s="168"/>
      <c r="G114" s="168"/>
      <c r="H114" s="168"/>
      <c r="I114" s="168"/>
      <c r="J114" s="28"/>
    </row>
    <row r="115" spans="2:10" ht="15.9" customHeight="1" x14ac:dyDescent="0.4">
      <c r="B115" s="124" t="s">
        <v>6</v>
      </c>
      <c r="C115" s="124"/>
      <c r="D115" s="124"/>
      <c r="E115" s="124"/>
      <c r="F115" s="124"/>
      <c r="G115" s="124"/>
      <c r="H115" s="124"/>
      <c r="I115" s="124"/>
      <c r="J115" s="124"/>
    </row>
    <row r="116" spans="2:10" ht="14.4" customHeight="1" x14ac:dyDescent="0.35">
      <c r="B116" s="15"/>
      <c r="C116" s="16"/>
      <c r="D116" s="148" t="s">
        <v>7</v>
      </c>
      <c r="E116" s="149"/>
      <c r="F116" s="149"/>
      <c r="G116" s="150"/>
      <c r="H116" s="151" t="s">
        <v>8</v>
      </c>
      <c r="I116" s="152"/>
      <c r="J116" s="4"/>
    </row>
    <row r="117" spans="2:10" x14ac:dyDescent="0.35">
      <c r="B117" s="13"/>
      <c r="C117" s="14"/>
      <c r="D117" s="155" t="s">
        <v>10</v>
      </c>
      <c r="E117" s="156"/>
      <c r="F117" s="156"/>
      <c r="G117" s="157"/>
      <c r="H117" s="153"/>
      <c r="I117" s="154"/>
      <c r="J117" s="4"/>
    </row>
    <row r="118" spans="2:10" ht="14.4" customHeight="1" x14ac:dyDescent="0.35">
      <c r="B118" s="128" t="s">
        <v>11</v>
      </c>
      <c r="C118" s="130" t="s">
        <v>12</v>
      </c>
      <c r="D118" s="20" t="s">
        <v>13</v>
      </c>
      <c r="E118" s="20" t="s">
        <v>14</v>
      </c>
      <c r="F118" s="20" t="s">
        <v>15</v>
      </c>
      <c r="G118" s="20" t="s">
        <v>16</v>
      </c>
      <c r="H118" s="158" t="s">
        <v>17</v>
      </c>
      <c r="I118" s="130" t="s">
        <v>18</v>
      </c>
      <c r="J118" s="21"/>
    </row>
    <row r="119" spans="2:10" ht="39" customHeight="1" x14ac:dyDescent="0.35">
      <c r="B119" s="129"/>
      <c r="C119" s="131"/>
      <c r="D119" s="160" t="s">
        <v>21</v>
      </c>
      <c r="E119" s="161"/>
      <c r="F119" s="161"/>
      <c r="G119" s="162"/>
      <c r="H119" s="159"/>
      <c r="I119" s="131"/>
      <c r="J119" s="21"/>
    </row>
    <row r="120" spans="2:10" x14ac:dyDescent="0.35">
      <c r="B120" s="43">
        <v>4</v>
      </c>
      <c r="C120" s="41" t="s">
        <v>22</v>
      </c>
      <c r="D120" s="22">
        <v>60654</v>
      </c>
      <c r="E120" s="22">
        <v>0</v>
      </c>
      <c r="F120" s="61">
        <f>+D120+E120</f>
        <v>60654</v>
      </c>
      <c r="G120" s="22">
        <f>+F120</f>
        <v>60654</v>
      </c>
      <c r="H120" s="62" t="e">
        <f t="shared" ref="H120:H125" si="14">((G120-I120)/I120)*100</f>
        <v>#DIV/0!</v>
      </c>
      <c r="I120" s="22">
        <v>0</v>
      </c>
      <c r="J120" s="23"/>
    </row>
    <row r="121" spans="2:10" x14ac:dyDescent="0.35">
      <c r="B121" s="43">
        <v>5</v>
      </c>
      <c r="C121" s="41" t="s">
        <v>23</v>
      </c>
      <c r="D121" s="27">
        <v>66559.11</v>
      </c>
      <c r="E121" s="27">
        <v>0</v>
      </c>
      <c r="F121" s="65">
        <f>+E121+D121</f>
        <v>66559.11</v>
      </c>
      <c r="G121" s="27">
        <f>+G120+F121</f>
        <v>127213.11</v>
      </c>
      <c r="H121" s="66">
        <f t="shared" si="14"/>
        <v>16.622022697697268</v>
      </c>
      <c r="I121" s="27">
        <v>109081.55</v>
      </c>
      <c r="J121" s="23"/>
    </row>
    <row r="122" spans="2:10" x14ac:dyDescent="0.35">
      <c r="B122" s="43">
        <v>6</v>
      </c>
      <c r="C122" s="41" t="s">
        <v>24</v>
      </c>
      <c r="D122" s="27">
        <v>46007.58</v>
      </c>
      <c r="E122" s="27">
        <v>0</v>
      </c>
      <c r="F122" s="65">
        <f>+E122+D122</f>
        <v>46007.58</v>
      </c>
      <c r="G122" s="27">
        <f t="shared" ref="G122" si="15">+G121+F122</f>
        <v>173220.69</v>
      </c>
      <c r="H122" s="66">
        <f t="shared" si="14"/>
        <v>27.980692591334925</v>
      </c>
      <c r="I122" s="27">
        <f>+I121+26267.53</f>
        <v>135349.08000000002</v>
      </c>
      <c r="J122" s="23"/>
    </row>
    <row r="123" spans="2:10" x14ac:dyDescent="0.35">
      <c r="B123" s="43">
        <v>7</v>
      </c>
      <c r="C123" s="41" t="s">
        <v>25</v>
      </c>
      <c r="D123" s="27">
        <v>45522.05</v>
      </c>
      <c r="E123" s="27">
        <v>0</v>
      </c>
      <c r="F123" s="65">
        <f t="shared" ref="F123:F142" si="16">+E123+D123</f>
        <v>45522.05</v>
      </c>
      <c r="G123" s="27">
        <f>+G122+F123</f>
        <v>218742.74</v>
      </c>
      <c r="H123" s="66">
        <f t="shared" si="14"/>
        <v>54.965705216896112</v>
      </c>
      <c r="I123" s="27">
        <f>+I122+5806.5</f>
        <v>141155.58000000002</v>
      </c>
      <c r="J123" s="23"/>
    </row>
    <row r="124" spans="2:10" x14ac:dyDescent="0.35">
      <c r="B124" s="43">
        <v>8</v>
      </c>
      <c r="C124" s="41" t="s">
        <v>26</v>
      </c>
      <c r="D124" s="27">
        <v>156828.70000000001</v>
      </c>
      <c r="E124" s="27">
        <v>0</v>
      </c>
      <c r="F124" s="65">
        <f t="shared" si="16"/>
        <v>156828.70000000001</v>
      </c>
      <c r="G124" s="27">
        <f t="shared" ref="G124:G125" si="17">+G123+F124</f>
        <v>375571.44</v>
      </c>
      <c r="H124" s="66">
        <f t="shared" si="14"/>
        <v>165.41198379591745</v>
      </c>
      <c r="I124" s="27">
        <v>141505.07999999999</v>
      </c>
      <c r="J124" s="23"/>
    </row>
    <row r="125" spans="2:10" x14ac:dyDescent="0.35">
      <c r="B125" s="43">
        <v>9</v>
      </c>
      <c r="C125" s="41" t="s">
        <v>27</v>
      </c>
      <c r="D125" s="27">
        <v>65850.63</v>
      </c>
      <c r="E125" s="27"/>
      <c r="F125" s="65">
        <f t="shared" si="16"/>
        <v>65850.63</v>
      </c>
      <c r="G125" s="70">
        <f t="shared" si="17"/>
        <v>441422.07</v>
      </c>
      <c r="H125" s="66">
        <f t="shared" si="14"/>
        <v>177.90432963874622</v>
      </c>
      <c r="I125" s="27">
        <f>+I124+17334.5</f>
        <v>158839.57999999999</v>
      </c>
      <c r="J125" s="23"/>
    </row>
    <row r="126" spans="2:10" hidden="1" x14ac:dyDescent="0.35">
      <c r="B126" s="11">
        <v>10</v>
      </c>
      <c r="C126" s="17" t="s">
        <v>50</v>
      </c>
      <c r="D126" s="25"/>
      <c r="E126" s="25"/>
      <c r="F126" s="26">
        <f t="shared" si="16"/>
        <v>0</v>
      </c>
      <c r="G126" s="25">
        <f t="shared" ref="G126:G142" si="18">+G125+F126</f>
        <v>441422.07</v>
      </c>
      <c r="H126" s="12">
        <v>0</v>
      </c>
      <c r="I126" s="27">
        <v>0</v>
      </c>
      <c r="J126" s="23"/>
    </row>
    <row r="127" spans="2:10" hidden="1" x14ac:dyDescent="0.35">
      <c r="B127" s="11">
        <v>11</v>
      </c>
      <c r="C127" s="17" t="s">
        <v>28</v>
      </c>
      <c r="D127" s="25"/>
      <c r="E127" s="25"/>
      <c r="F127" s="26">
        <f t="shared" si="16"/>
        <v>0</v>
      </c>
      <c r="G127" s="25">
        <f t="shared" si="18"/>
        <v>441422.07</v>
      </c>
      <c r="H127" s="12">
        <v>0</v>
      </c>
      <c r="I127" s="27">
        <v>0</v>
      </c>
      <c r="J127" s="23"/>
    </row>
    <row r="128" spans="2:10" hidden="1" x14ac:dyDescent="0.35">
      <c r="B128" s="11">
        <v>12</v>
      </c>
      <c r="C128" s="17" t="s">
        <v>29</v>
      </c>
      <c r="D128" s="25"/>
      <c r="E128" s="25"/>
      <c r="F128" s="26">
        <f t="shared" si="16"/>
        <v>0</v>
      </c>
      <c r="G128" s="25">
        <f t="shared" si="18"/>
        <v>441422.07</v>
      </c>
      <c r="H128" s="12">
        <v>0</v>
      </c>
      <c r="I128" s="27">
        <v>0</v>
      </c>
      <c r="J128" s="23"/>
    </row>
    <row r="129" spans="2:10" hidden="1" x14ac:dyDescent="0.35">
      <c r="B129" s="11">
        <v>13</v>
      </c>
      <c r="C129" s="17" t="s">
        <v>30</v>
      </c>
      <c r="D129" s="25"/>
      <c r="E129" s="25"/>
      <c r="F129" s="26">
        <f t="shared" si="16"/>
        <v>0</v>
      </c>
      <c r="G129" s="25">
        <f t="shared" si="18"/>
        <v>441422.07</v>
      </c>
      <c r="H129" s="12">
        <v>0</v>
      </c>
      <c r="I129" s="27">
        <v>0</v>
      </c>
      <c r="J129" s="23"/>
    </row>
    <row r="130" spans="2:10" hidden="1" x14ac:dyDescent="0.35">
      <c r="B130" s="11">
        <v>14</v>
      </c>
      <c r="C130" s="18" t="s">
        <v>31</v>
      </c>
      <c r="D130" s="25"/>
      <c r="E130" s="25"/>
      <c r="F130" s="26">
        <f t="shared" si="16"/>
        <v>0</v>
      </c>
      <c r="G130" s="25">
        <f t="shared" si="18"/>
        <v>441422.07</v>
      </c>
      <c r="H130" s="12">
        <v>0</v>
      </c>
      <c r="I130" s="27">
        <v>0</v>
      </c>
      <c r="J130" s="23"/>
    </row>
    <row r="131" spans="2:10" hidden="1" x14ac:dyDescent="0.35">
      <c r="B131" s="11">
        <v>15</v>
      </c>
      <c r="C131" s="17" t="s">
        <v>32</v>
      </c>
      <c r="D131" s="25"/>
      <c r="E131" s="25"/>
      <c r="F131" s="26">
        <f t="shared" si="16"/>
        <v>0</v>
      </c>
      <c r="G131" s="25">
        <f t="shared" si="18"/>
        <v>441422.07</v>
      </c>
      <c r="H131" s="12">
        <v>0</v>
      </c>
      <c r="I131" s="27">
        <v>0</v>
      </c>
      <c r="J131" s="23"/>
    </row>
    <row r="132" spans="2:10" hidden="1" x14ac:dyDescent="0.35">
      <c r="B132" s="11">
        <v>16</v>
      </c>
      <c r="C132" s="17" t="s">
        <v>33</v>
      </c>
      <c r="D132" s="25"/>
      <c r="E132" s="25"/>
      <c r="F132" s="26">
        <f t="shared" si="16"/>
        <v>0</v>
      </c>
      <c r="G132" s="25">
        <f t="shared" si="18"/>
        <v>441422.07</v>
      </c>
      <c r="H132" s="12">
        <v>0</v>
      </c>
      <c r="I132" s="27">
        <v>0</v>
      </c>
      <c r="J132" s="23"/>
    </row>
    <row r="133" spans="2:10" hidden="1" x14ac:dyDescent="0.35">
      <c r="B133" s="11">
        <v>17</v>
      </c>
      <c r="C133" s="17" t="s">
        <v>34</v>
      </c>
      <c r="D133" s="25"/>
      <c r="E133" s="25"/>
      <c r="F133" s="26">
        <f t="shared" si="16"/>
        <v>0</v>
      </c>
      <c r="G133" s="25">
        <f t="shared" si="18"/>
        <v>441422.07</v>
      </c>
      <c r="H133" s="12">
        <v>0</v>
      </c>
      <c r="I133" s="27">
        <v>0</v>
      </c>
      <c r="J133" s="23"/>
    </row>
    <row r="134" spans="2:10" hidden="1" x14ac:dyDescent="0.35">
      <c r="B134" s="11">
        <v>18</v>
      </c>
      <c r="C134" s="17" t="s">
        <v>35</v>
      </c>
      <c r="D134" s="25"/>
      <c r="E134" s="25"/>
      <c r="F134" s="26">
        <f t="shared" si="16"/>
        <v>0</v>
      </c>
      <c r="G134" s="25">
        <f t="shared" si="18"/>
        <v>441422.07</v>
      </c>
      <c r="H134" s="12">
        <v>0</v>
      </c>
      <c r="I134" s="27">
        <v>0</v>
      </c>
      <c r="J134" s="23"/>
    </row>
    <row r="135" spans="2:10" hidden="1" x14ac:dyDescent="0.35">
      <c r="B135" s="11">
        <v>19</v>
      </c>
      <c r="C135" s="17" t="s">
        <v>36</v>
      </c>
      <c r="D135" s="25"/>
      <c r="E135" s="25"/>
      <c r="F135" s="26">
        <f t="shared" si="16"/>
        <v>0</v>
      </c>
      <c r="G135" s="25">
        <f t="shared" si="18"/>
        <v>441422.07</v>
      </c>
      <c r="H135" s="12">
        <v>0</v>
      </c>
      <c r="I135" s="27">
        <v>0</v>
      </c>
      <c r="J135" s="23"/>
    </row>
    <row r="136" spans="2:10" hidden="1" x14ac:dyDescent="0.35">
      <c r="B136" s="11">
        <v>20</v>
      </c>
      <c r="C136" s="17" t="s">
        <v>37</v>
      </c>
      <c r="D136" s="25"/>
      <c r="E136" s="25"/>
      <c r="F136" s="26">
        <f t="shared" si="16"/>
        <v>0</v>
      </c>
      <c r="G136" s="25">
        <f t="shared" si="18"/>
        <v>441422.07</v>
      </c>
      <c r="H136" s="12">
        <v>0</v>
      </c>
      <c r="I136" s="27">
        <v>0</v>
      </c>
      <c r="J136" s="23"/>
    </row>
    <row r="137" spans="2:10" hidden="1" x14ac:dyDescent="0.35">
      <c r="B137" s="11">
        <v>21</v>
      </c>
      <c r="C137" s="17" t="s">
        <v>38</v>
      </c>
      <c r="D137" s="25"/>
      <c r="E137" s="25"/>
      <c r="F137" s="26">
        <f t="shared" si="16"/>
        <v>0</v>
      </c>
      <c r="G137" s="25">
        <f t="shared" si="18"/>
        <v>441422.07</v>
      </c>
      <c r="H137" s="12">
        <v>0</v>
      </c>
      <c r="I137" s="27">
        <v>0</v>
      </c>
      <c r="J137" s="23"/>
    </row>
    <row r="138" spans="2:10" hidden="1" x14ac:dyDescent="0.35">
      <c r="B138" s="11">
        <v>22</v>
      </c>
      <c r="C138" s="17" t="s">
        <v>39</v>
      </c>
      <c r="D138" s="25"/>
      <c r="E138" s="25"/>
      <c r="F138" s="26">
        <f t="shared" si="16"/>
        <v>0</v>
      </c>
      <c r="G138" s="25">
        <f t="shared" si="18"/>
        <v>441422.07</v>
      </c>
      <c r="H138" s="12">
        <v>0</v>
      </c>
      <c r="I138" s="27">
        <v>0</v>
      </c>
      <c r="J138" s="23"/>
    </row>
    <row r="139" spans="2:10" hidden="1" x14ac:dyDescent="0.35">
      <c r="B139" s="11">
        <v>23</v>
      </c>
      <c r="C139" s="17" t="s">
        <v>40</v>
      </c>
      <c r="D139" s="25"/>
      <c r="E139" s="25"/>
      <c r="F139" s="26">
        <f t="shared" si="16"/>
        <v>0</v>
      </c>
      <c r="G139" s="25">
        <f t="shared" si="18"/>
        <v>441422.07</v>
      </c>
      <c r="H139" s="12">
        <v>0</v>
      </c>
      <c r="I139" s="27">
        <v>0</v>
      </c>
      <c r="J139" s="23"/>
    </row>
    <row r="140" spans="2:10" hidden="1" x14ac:dyDescent="0.35">
      <c r="B140" s="11">
        <v>24</v>
      </c>
      <c r="C140" s="17" t="s">
        <v>41</v>
      </c>
      <c r="D140" s="25"/>
      <c r="E140" s="25"/>
      <c r="F140" s="26">
        <f t="shared" si="16"/>
        <v>0</v>
      </c>
      <c r="G140" s="25">
        <f t="shared" si="18"/>
        <v>441422.07</v>
      </c>
      <c r="H140" s="12">
        <v>0</v>
      </c>
      <c r="I140" s="27">
        <v>0</v>
      </c>
      <c r="J140" s="23"/>
    </row>
    <row r="141" spans="2:10" hidden="1" x14ac:dyDescent="0.35">
      <c r="B141" s="11">
        <v>25</v>
      </c>
      <c r="C141" s="19" t="s">
        <v>42</v>
      </c>
      <c r="D141" s="25"/>
      <c r="E141" s="25"/>
      <c r="F141" s="26">
        <f t="shared" si="16"/>
        <v>0</v>
      </c>
      <c r="G141" s="25">
        <f t="shared" si="18"/>
        <v>441422.07</v>
      </c>
      <c r="H141" s="12">
        <v>0</v>
      </c>
      <c r="I141" s="27">
        <v>0</v>
      </c>
      <c r="J141" s="23"/>
    </row>
    <row r="142" spans="2:10" hidden="1" x14ac:dyDescent="0.35">
      <c r="B142" s="29">
        <v>26</v>
      </c>
      <c r="C142" s="30" t="s">
        <v>43</v>
      </c>
      <c r="D142" s="31"/>
      <c r="E142" s="31"/>
      <c r="F142" s="32">
        <f t="shared" si="16"/>
        <v>0</v>
      </c>
      <c r="G142" s="31">
        <f t="shared" si="18"/>
        <v>441422.07</v>
      </c>
      <c r="H142" s="33">
        <v>0</v>
      </c>
      <c r="I142" s="34">
        <v>0</v>
      </c>
      <c r="J142" s="23"/>
    </row>
    <row r="143" spans="2:10" x14ac:dyDescent="0.35">
      <c r="B143" s="5"/>
      <c r="C143" s="5"/>
      <c r="D143" s="6"/>
      <c r="E143" s="6"/>
      <c r="F143" s="6"/>
      <c r="G143" s="6"/>
      <c r="H143" s="7"/>
      <c r="I143" s="6"/>
      <c r="J143" s="5"/>
    </row>
    <row r="144" spans="2:10" x14ac:dyDescent="0.35">
      <c r="B144" s="8" t="s">
        <v>44</v>
      </c>
      <c r="C144" s="5"/>
      <c r="D144" s="5"/>
      <c r="E144" s="5"/>
      <c r="F144" s="5"/>
      <c r="G144" s="5"/>
      <c r="H144" s="5"/>
      <c r="I144" s="5"/>
      <c r="J144" s="5"/>
    </row>
    <row r="145" spans="2:10" x14ac:dyDescent="0.35">
      <c r="B145" s="9" t="s">
        <v>45</v>
      </c>
      <c r="C145" s="5"/>
      <c r="D145" s="5"/>
      <c r="E145" s="5"/>
      <c r="F145" s="5"/>
      <c r="G145" s="5"/>
      <c r="H145" s="5"/>
      <c r="I145" s="5"/>
      <c r="J145" s="5"/>
    </row>
    <row r="146" spans="2:10" x14ac:dyDescent="0.35">
      <c r="B146" s="9" t="s">
        <v>46</v>
      </c>
      <c r="C146" s="5"/>
      <c r="D146" s="5"/>
      <c r="E146" s="5"/>
      <c r="F146" s="5"/>
      <c r="G146" s="5"/>
      <c r="H146" s="5"/>
      <c r="I146" s="5"/>
      <c r="J146" s="5"/>
    </row>
    <row r="147" spans="2:10" x14ac:dyDescent="0.35">
      <c r="B147" s="9" t="s">
        <v>47</v>
      </c>
      <c r="C147" s="5"/>
      <c r="D147" s="5"/>
      <c r="E147" s="5"/>
      <c r="F147" s="5"/>
      <c r="G147" s="5"/>
      <c r="H147" s="5"/>
      <c r="I147" s="5"/>
      <c r="J147" s="5"/>
    </row>
  </sheetData>
  <mergeCells count="43">
    <mergeCell ref="B118:B119"/>
    <mergeCell ref="C118:C119"/>
    <mergeCell ref="H118:H119"/>
    <mergeCell ref="I118:I119"/>
    <mergeCell ref="D119:G119"/>
    <mergeCell ref="B81:B82"/>
    <mergeCell ref="C81:C82"/>
    <mergeCell ref="H81:H82"/>
    <mergeCell ref="I81:I82"/>
    <mergeCell ref="D82:G82"/>
    <mergeCell ref="B44:B45"/>
    <mergeCell ref="C44:C45"/>
    <mergeCell ref="H44:H45"/>
    <mergeCell ref="I44:I45"/>
    <mergeCell ref="D45:G45"/>
    <mergeCell ref="H116:I117"/>
    <mergeCell ref="D117:G117"/>
    <mergeCell ref="D113:I113"/>
    <mergeCell ref="D116:G116"/>
    <mergeCell ref="D114:I114"/>
    <mergeCell ref="B115:J115"/>
    <mergeCell ref="H79:I80"/>
    <mergeCell ref="D80:G80"/>
    <mergeCell ref="D76:I76"/>
    <mergeCell ref="D79:G79"/>
    <mergeCell ref="D77:I77"/>
    <mergeCell ref="B78:J78"/>
    <mergeCell ref="H42:I43"/>
    <mergeCell ref="D43:G43"/>
    <mergeCell ref="D39:I39"/>
    <mergeCell ref="D42:G42"/>
    <mergeCell ref="D40:I40"/>
    <mergeCell ref="B41:J41"/>
    <mergeCell ref="B7:B8"/>
    <mergeCell ref="C7:C8"/>
    <mergeCell ref="H7:H8"/>
    <mergeCell ref="I7:I8"/>
    <mergeCell ref="D8:G8"/>
    <mergeCell ref="D3:I3"/>
    <mergeCell ref="B4:J4"/>
    <mergeCell ref="D5:G5"/>
    <mergeCell ref="H5:I6"/>
    <mergeCell ref="D6:G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2C311-3F12-4F3A-BE59-94482012E654}">
  <dimension ref="B3:M147"/>
  <sheetViews>
    <sheetView topLeftCell="A86" workbookViewId="0">
      <selection activeCell="P149" sqref="P149"/>
    </sheetView>
  </sheetViews>
  <sheetFormatPr defaultColWidth="9" defaultRowHeight="14.5" x14ac:dyDescent="0.35"/>
  <cols>
    <col min="1" max="1" width="2" style="3" customWidth="1"/>
    <col min="2" max="2" width="6.09765625" style="3" customWidth="1"/>
    <col min="3" max="3" width="25.59765625" style="3" customWidth="1"/>
    <col min="4" max="4" width="18.59765625" style="3" customWidth="1"/>
    <col min="5" max="5" width="13" style="3" customWidth="1"/>
    <col min="6" max="6" width="14.8984375" style="3" customWidth="1"/>
    <col min="7" max="7" width="14.59765625" style="3" customWidth="1"/>
    <col min="8" max="8" width="16.69921875" style="3" customWidth="1"/>
    <col min="9" max="9" width="13" style="3" customWidth="1"/>
    <col min="10" max="11" width="9" style="3"/>
    <col min="12" max="12" width="14.09765625" style="3" bestFit="1" customWidth="1"/>
    <col min="13" max="13" width="10.3984375" style="3" bestFit="1" customWidth="1"/>
    <col min="14" max="16384" width="9" style="3"/>
  </cols>
  <sheetData>
    <row r="3" spans="2:13" s="38" customFormat="1" ht="18.5" x14ac:dyDescent="0.45">
      <c r="B3" s="28"/>
      <c r="C3" s="28"/>
      <c r="D3" s="147" t="s">
        <v>55</v>
      </c>
      <c r="E3" s="147"/>
      <c r="F3" s="147"/>
      <c r="G3" s="147"/>
      <c r="H3" s="147"/>
      <c r="I3" s="147"/>
      <c r="J3" s="28"/>
      <c r="K3" s="39"/>
      <c r="L3" s="2"/>
    </row>
    <row r="4" spans="2:13" ht="15.9" customHeight="1" x14ac:dyDescent="0.4">
      <c r="B4" s="124" t="s">
        <v>6</v>
      </c>
      <c r="C4" s="124"/>
      <c r="D4" s="124"/>
      <c r="E4" s="124"/>
      <c r="F4" s="124"/>
      <c r="G4" s="124"/>
      <c r="H4" s="124"/>
      <c r="I4" s="124"/>
      <c r="J4" s="124"/>
      <c r="K4" s="1"/>
      <c r="L4" s="2"/>
    </row>
    <row r="5" spans="2:13" ht="14.4" customHeight="1" x14ac:dyDescent="0.35">
      <c r="B5" s="15"/>
      <c r="C5" s="16"/>
      <c r="D5" s="148" t="s">
        <v>7</v>
      </c>
      <c r="E5" s="149"/>
      <c r="F5" s="149"/>
      <c r="G5" s="150"/>
      <c r="H5" s="151" t="s">
        <v>8</v>
      </c>
      <c r="I5" s="152"/>
      <c r="J5" s="4"/>
      <c r="K5" s="1"/>
      <c r="L5" s="2"/>
    </row>
    <row r="6" spans="2:13" x14ac:dyDescent="0.35">
      <c r="B6" s="13"/>
      <c r="C6" s="14"/>
      <c r="D6" s="155" t="s">
        <v>10</v>
      </c>
      <c r="E6" s="156"/>
      <c r="F6" s="156"/>
      <c r="G6" s="157"/>
      <c r="H6" s="153"/>
      <c r="I6" s="154"/>
      <c r="J6" s="4"/>
      <c r="K6" s="1"/>
      <c r="L6" s="2"/>
    </row>
    <row r="7" spans="2:13" ht="18.899999999999999" customHeight="1" x14ac:dyDescent="0.35">
      <c r="B7" s="128" t="s">
        <v>11</v>
      </c>
      <c r="C7" s="130" t="s">
        <v>12</v>
      </c>
      <c r="D7" s="20" t="s">
        <v>13</v>
      </c>
      <c r="E7" s="20" t="s">
        <v>14</v>
      </c>
      <c r="F7" s="20" t="s">
        <v>15</v>
      </c>
      <c r="G7" s="20" t="s">
        <v>16</v>
      </c>
      <c r="H7" s="158" t="s">
        <v>17</v>
      </c>
      <c r="I7" s="130" t="s">
        <v>18</v>
      </c>
      <c r="J7" s="21"/>
      <c r="K7" s="1"/>
      <c r="L7" s="2"/>
    </row>
    <row r="8" spans="2:13" ht="35.4" customHeight="1" x14ac:dyDescent="0.35">
      <c r="B8" s="129"/>
      <c r="C8" s="131"/>
      <c r="D8" s="160" t="s">
        <v>21</v>
      </c>
      <c r="E8" s="161"/>
      <c r="F8" s="161"/>
      <c r="G8" s="162"/>
      <c r="H8" s="159"/>
      <c r="I8" s="131"/>
      <c r="J8" s="21"/>
      <c r="K8" s="1"/>
    </row>
    <row r="9" spans="2:13" x14ac:dyDescent="0.35">
      <c r="B9" s="43">
        <v>4</v>
      </c>
      <c r="C9" s="41" t="s">
        <v>22</v>
      </c>
      <c r="D9" s="22">
        <v>281223.5</v>
      </c>
      <c r="E9" s="22">
        <v>0</v>
      </c>
      <c r="F9" s="61">
        <f>+D9+E9</f>
        <v>281223.5</v>
      </c>
      <c r="G9" s="22">
        <f>+F9</f>
        <v>281223.5</v>
      </c>
      <c r="H9" s="62">
        <f t="shared" ref="H9:H14" si="0">((G9-I9)/I9)*100</f>
        <v>73.673013147899979</v>
      </c>
      <c r="I9" s="22">
        <v>161927</v>
      </c>
      <c r="J9" s="23"/>
      <c r="K9" s="1"/>
    </row>
    <row r="10" spans="2:13" x14ac:dyDescent="0.35">
      <c r="B10" s="43">
        <v>5</v>
      </c>
      <c r="C10" s="41" t="s">
        <v>23</v>
      </c>
      <c r="D10" s="27">
        <v>661494.31000000006</v>
      </c>
      <c r="E10" s="27">
        <v>0</v>
      </c>
      <c r="F10" s="65">
        <f>+E10+D10</f>
        <v>661494.31000000006</v>
      </c>
      <c r="G10" s="27">
        <f>+G9+F10</f>
        <v>942717.81</v>
      </c>
      <c r="H10" s="66">
        <f t="shared" si="0"/>
        <v>-24.606981427972126</v>
      </c>
      <c r="I10" s="27">
        <f>+I9+1088477.65</f>
        <v>1250404.6499999999</v>
      </c>
      <c r="J10" s="23"/>
      <c r="K10" s="1"/>
    </row>
    <row r="11" spans="2:13" x14ac:dyDescent="0.35">
      <c r="B11" s="43">
        <v>6</v>
      </c>
      <c r="C11" s="41" t="s">
        <v>24</v>
      </c>
      <c r="D11" s="27">
        <v>684028.5</v>
      </c>
      <c r="E11" s="27">
        <v>-79989</v>
      </c>
      <c r="F11" s="65">
        <f>+E11+D11</f>
        <v>604039.5</v>
      </c>
      <c r="G11" s="27">
        <f t="shared" ref="G11:G31" si="1">+G10+F11</f>
        <v>1546757.31</v>
      </c>
      <c r="H11" s="66">
        <f t="shared" si="0"/>
        <v>-30.390468987897769</v>
      </c>
      <c r="I11" s="27">
        <f>+I10+971643.52</f>
        <v>2222048.17</v>
      </c>
      <c r="J11" s="23"/>
      <c r="K11" s="1"/>
    </row>
    <row r="12" spans="2:13" x14ac:dyDescent="0.35">
      <c r="B12" s="43">
        <v>7</v>
      </c>
      <c r="C12" s="41" t="s">
        <v>25</v>
      </c>
      <c r="D12" s="27">
        <v>106349.5</v>
      </c>
      <c r="E12" s="27">
        <v>376135</v>
      </c>
      <c r="F12" s="65">
        <f t="shared" ref="F12:F31" si="2">+E12+D12</f>
        <v>482484.5</v>
      </c>
      <c r="G12" s="27">
        <f>+G11+F12</f>
        <v>2029241.81</v>
      </c>
      <c r="H12" s="66">
        <f t="shared" si="0"/>
        <v>-34.974765300493864</v>
      </c>
      <c r="I12" s="27">
        <f>+I11+898650.77</f>
        <v>3120698.94</v>
      </c>
      <c r="J12" s="23"/>
      <c r="K12" s="1"/>
      <c r="L12" s="40"/>
      <c r="M12" s="40"/>
    </row>
    <row r="13" spans="2:13" x14ac:dyDescent="0.35">
      <c r="B13" s="43">
        <v>8</v>
      </c>
      <c r="C13" s="41" t="s">
        <v>26</v>
      </c>
      <c r="D13" s="27">
        <v>305410.52</v>
      </c>
      <c r="E13" s="27">
        <v>0</v>
      </c>
      <c r="F13" s="65">
        <f t="shared" si="2"/>
        <v>305410.52</v>
      </c>
      <c r="G13" s="27">
        <f t="shared" ref="G13:G14" si="3">+G12+F13</f>
        <v>2334652.33</v>
      </c>
      <c r="H13" s="66">
        <f t="shared" si="0"/>
        <v>-43.624328275601222</v>
      </c>
      <c r="I13" s="27">
        <v>4141240.82</v>
      </c>
      <c r="J13" s="23"/>
      <c r="K13" s="1"/>
      <c r="L13" s="42"/>
    </row>
    <row r="14" spans="2:13" x14ac:dyDescent="0.35">
      <c r="B14" s="43">
        <v>9</v>
      </c>
      <c r="C14" s="41" t="s">
        <v>27</v>
      </c>
      <c r="D14" s="27">
        <v>151092</v>
      </c>
      <c r="E14" s="27">
        <v>0</v>
      </c>
      <c r="F14" s="65">
        <f t="shared" si="2"/>
        <v>151092</v>
      </c>
      <c r="G14" s="67">
        <f t="shared" si="3"/>
        <v>2485744.33</v>
      </c>
      <c r="H14" s="66">
        <f t="shared" si="0"/>
        <v>-48.08615788126933</v>
      </c>
      <c r="I14" s="27">
        <f>+I13+646970.24</f>
        <v>4788211.0599999996</v>
      </c>
      <c r="J14" s="23"/>
      <c r="K14" s="1"/>
    </row>
    <row r="15" spans="2:13" hidden="1" x14ac:dyDescent="0.35">
      <c r="B15" s="11">
        <v>10</v>
      </c>
      <c r="C15" s="17" t="s">
        <v>50</v>
      </c>
      <c r="D15" s="25"/>
      <c r="E15" s="25"/>
      <c r="F15" s="26">
        <f t="shared" si="2"/>
        <v>0</v>
      </c>
      <c r="G15" s="25">
        <f t="shared" si="1"/>
        <v>2485744.33</v>
      </c>
      <c r="H15" s="12">
        <v>0</v>
      </c>
      <c r="I15" s="27">
        <v>0</v>
      </c>
      <c r="J15" s="23"/>
      <c r="K15" s="1"/>
    </row>
    <row r="16" spans="2:13" hidden="1" x14ac:dyDescent="0.35">
      <c r="B16" s="11">
        <v>11</v>
      </c>
      <c r="C16" s="17" t="s">
        <v>28</v>
      </c>
      <c r="D16" s="25"/>
      <c r="E16" s="25"/>
      <c r="F16" s="26">
        <f t="shared" si="2"/>
        <v>0</v>
      </c>
      <c r="G16" s="25">
        <f t="shared" si="1"/>
        <v>2485744.33</v>
      </c>
      <c r="H16" s="12">
        <v>0</v>
      </c>
      <c r="I16" s="27">
        <v>0</v>
      </c>
      <c r="J16" s="23"/>
      <c r="K16" s="1"/>
    </row>
    <row r="17" spans="2:12" hidden="1" x14ac:dyDescent="0.35">
      <c r="B17" s="11">
        <v>12</v>
      </c>
      <c r="C17" s="17" t="s">
        <v>29</v>
      </c>
      <c r="D17" s="25"/>
      <c r="E17" s="25"/>
      <c r="F17" s="26">
        <f t="shared" si="2"/>
        <v>0</v>
      </c>
      <c r="G17" s="25">
        <f t="shared" si="1"/>
        <v>2485744.33</v>
      </c>
      <c r="H17" s="12">
        <v>0</v>
      </c>
      <c r="I17" s="27">
        <v>0</v>
      </c>
      <c r="J17" s="23"/>
      <c r="K17" s="1"/>
    </row>
    <row r="18" spans="2:12" hidden="1" x14ac:dyDescent="0.35">
      <c r="B18" s="11">
        <v>13</v>
      </c>
      <c r="C18" s="17" t="s">
        <v>30</v>
      </c>
      <c r="D18" s="25"/>
      <c r="E18" s="25"/>
      <c r="F18" s="26">
        <f t="shared" si="2"/>
        <v>0</v>
      </c>
      <c r="G18" s="25">
        <f t="shared" si="1"/>
        <v>2485744.33</v>
      </c>
      <c r="H18" s="12">
        <v>0</v>
      </c>
      <c r="I18" s="27">
        <v>0</v>
      </c>
      <c r="J18" s="23"/>
      <c r="K18" s="1"/>
    </row>
    <row r="19" spans="2:12" hidden="1" x14ac:dyDescent="0.35">
      <c r="B19" s="11">
        <v>14</v>
      </c>
      <c r="C19" s="18" t="s">
        <v>31</v>
      </c>
      <c r="D19" s="25"/>
      <c r="E19" s="25"/>
      <c r="F19" s="26">
        <f t="shared" si="2"/>
        <v>0</v>
      </c>
      <c r="G19" s="25">
        <f t="shared" si="1"/>
        <v>2485744.33</v>
      </c>
      <c r="H19" s="12">
        <v>0</v>
      </c>
      <c r="I19" s="27">
        <v>0</v>
      </c>
      <c r="J19" s="23"/>
      <c r="K19" s="1"/>
    </row>
    <row r="20" spans="2:12" hidden="1" x14ac:dyDescent="0.35">
      <c r="B20" s="11">
        <v>15</v>
      </c>
      <c r="C20" s="17" t="s">
        <v>32</v>
      </c>
      <c r="D20" s="25"/>
      <c r="E20" s="25"/>
      <c r="F20" s="26">
        <f t="shared" si="2"/>
        <v>0</v>
      </c>
      <c r="G20" s="25">
        <f t="shared" si="1"/>
        <v>2485744.33</v>
      </c>
      <c r="H20" s="12">
        <v>0</v>
      </c>
      <c r="I20" s="27">
        <v>0</v>
      </c>
      <c r="J20" s="23"/>
      <c r="K20" s="1"/>
    </row>
    <row r="21" spans="2:12" hidden="1" x14ac:dyDescent="0.35">
      <c r="B21" s="11">
        <v>16</v>
      </c>
      <c r="C21" s="17" t="s">
        <v>33</v>
      </c>
      <c r="D21" s="25"/>
      <c r="E21" s="25"/>
      <c r="F21" s="26">
        <f t="shared" si="2"/>
        <v>0</v>
      </c>
      <c r="G21" s="25">
        <f t="shared" si="1"/>
        <v>2485744.33</v>
      </c>
      <c r="H21" s="12">
        <v>0</v>
      </c>
      <c r="I21" s="27">
        <v>0</v>
      </c>
      <c r="J21" s="23"/>
      <c r="K21" s="1"/>
    </row>
    <row r="22" spans="2:12" hidden="1" x14ac:dyDescent="0.35">
      <c r="B22" s="11">
        <v>17</v>
      </c>
      <c r="C22" s="17" t="s">
        <v>34</v>
      </c>
      <c r="D22" s="25"/>
      <c r="E22" s="25"/>
      <c r="F22" s="26">
        <f t="shared" si="2"/>
        <v>0</v>
      </c>
      <c r="G22" s="25">
        <f t="shared" si="1"/>
        <v>2485744.33</v>
      </c>
      <c r="H22" s="12">
        <v>0</v>
      </c>
      <c r="I22" s="27">
        <v>0</v>
      </c>
      <c r="J22" s="23"/>
      <c r="K22" s="1"/>
    </row>
    <row r="23" spans="2:12" hidden="1" x14ac:dyDescent="0.35">
      <c r="B23" s="11">
        <v>18</v>
      </c>
      <c r="C23" s="17" t="s">
        <v>35</v>
      </c>
      <c r="D23" s="25"/>
      <c r="E23" s="25"/>
      <c r="F23" s="26">
        <f t="shared" si="2"/>
        <v>0</v>
      </c>
      <c r="G23" s="25">
        <f t="shared" si="1"/>
        <v>2485744.33</v>
      </c>
      <c r="H23" s="12">
        <v>0</v>
      </c>
      <c r="I23" s="27">
        <v>0</v>
      </c>
      <c r="J23" s="23"/>
      <c r="K23" s="1"/>
    </row>
    <row r="24" spans="2:12" hidden="1" x14ac:dyDescent="0.35">
      <c r="B24" s="11">
        <v>19</v>
      </c>
      <c r="C24" s="17" t="s">
        <v>36</v>
      </c>
      <c r="D24" s="25"/>
      <c r="E24" s="25"/>
      <c r="F24" s="26">
        <f t="shared" si="2"/>
        <v>0</v>
      </c>
      <c r="G24" s="25">
        <f t="shared" si="1"/>
        <v>2485744.33</v>
      </c>
      <c r="H24" s="12">
        <v>0</v>
      </c>
      <c r="I24" s="27">
        <v>0</v>
      </c>
      <c r="J24" s="23"/>
      <c r="K24" s="1"/>
    </row>
    <row r="25" spans="2:12" hidden="1" x14ac:dyDescent="0.35">
      <c r="B25" s="11">
        <v>20</v>
      </c>
      <c r="C25" s="17" t="s">
        <v>37</v>
      </c>
      <c r="D25" s="25"/>
      <c r="E25" s="25"/>
      <c r="F25" s="26">
        <f t="shared" si="2"/>
        <v>0</v>
      </c>
      <c r="G25" s="25">
        <f t="shared" si="1"/>
        <v>2485744.33</v>
      </c>
      <c r="H25" s="12">
        <v>0</v>
      </c>
      <c r="I25" s="27">
        <v>0</v>
      </c>
      <c r="J25" s="23"/>
      <c r="K25" s="1"/>
    </row>
    <row r="26" spans="2:12" hidden="1" x14ac:dyDescent="0.35">
      <c r="B26" s="11">
        <v>21</v>
      </c>
      <c r="C26" s="17" t="s">
        <v>38</v>
      </c>
      <c r="D26" s="25"/>
      <c r="E26" s="25"/>
      <c r="F26" s="26">
        <f t="shared" si="2"/>
        <v>0</v>
      </c>
      <c r="G26" s="25">
        <f t="shared" si="1"/>
        <v>2485744.33</v>
      </c>
      <c r="H26" s="12">
        <v>0</v>
      </c>
      <c r="I26" s="27">
        <v>0</v>
      </c>
      <c r="J26" s="23"/>
      <c r="K26" s="1"/>
    </row>
    <row r="27" spans="2:12" hidden="1" x14ac:dyDescent="0.35">
      <c r="B27" s="11">
        <v>22</v>
      </c>
      <c r="C27" s="17" t="s">
        <v>39</v>
      </c>
      <c r="D27" s="25"/>
      <c r="E27" s="25"/>
      <c r="F27" s="26">
        <f t="shared" si="2"/>
        <v>0</v>
      </c>
      <c r="G27" s="25">
        <f t="shared" si="1"/>
        <v>2485744.33</v>
      </c>
      <c r="H27" s="12">
        <v>0</v>
      </c>
      <c r="I27" s="27">
        <v>0</v>
      </c>
      <c r="J27" s="23"/>
      <c r="K27" s="1"/>
    </row>
    <row r="28" spans="2:12" hidden="1" x14ac:dyDescent="0.35">
      <c r="B28" s="11">
        <v>23</v>
      </c>
      <c r="C28" s="17" t="s">
        <v>40</v>
      </c>
      <c r="D28" s="25"/>
      <c r="E28" s="25"/>
      <c r="F28" s="26">
        <f t="shared" si="2"/>
        <v>0</v>
      </c>
      <c r="G28" s="25">
        <f t="shared" si="1"/>
        <v>2485744.33</v>
      </c>
      <c r="H28" s="12">
        <v>0</v>
      </c>
      <c r="I28" s="27">
        <v>0</v>
      </c>
      <c r="J28" s="23"/>
      <c r="K28" s="1"/>
    </row>
    <row r="29" spans="2:12" hidden="1" x14ac:dyDescent="0.35">
      <c r="B29" s="11">
        <v>24</v>
      </c>
      <c r="C29" s="17" t="s">
        <v>41</v>
      </c>
      <c r="D29" s="25"/>
      <c r="E29" s="25"/>
      <c r="F29" s="26">
        <f t="shared" si="2"/>
        <v>0</v>
      </c>
      <c r="G29" s="25">
        <f t="shared" si="1"/>
        <v>2485744.33</v>
      </c>
      <c r="H29" s="12">
        <v>0</v>
      </c>
      <c r="I29" s="27">
        <v>0</v>
      </c>
      <c r="J29" s="23"/>
      <c r="K29" s="1"/>
    </row>
    <row r="30" spans="2:12" hidden="1" x14ac:dyDescent="0.35">
      <c r="B30" s="11">
        <v>25</v>
      </c>
      <c r="C30" s="19" t="s">
        <v>42</v>
      </c>
      <c r="D30" s="25"/>
      <c r="E30" s="25"/>
      <c r="F30" s="26">
        <f t="shared" si="2"/>
        <v>0</v>
      </c>
      <c r="G30" s="25">
        <f t="shared" si="1"/>
        <v>2485744.33</v>
      </c>
      <c r="H30" s="12">
        <v>0</v>
      </c>
      <c r="I30" s="27">
        <v>0</v>
      </c>
      <c r="J30" s="23"/>
      <c r="K30" s="1"/>
    </row>
    <row r="31" spans="2:12" hidden="1" x14ac:dyDescent="0.35">
      <c r="B31" s="29">
        <v>26</v>
      </c>
      <c r="C31" s="30" t="s">
        <v>43</v>
      </c>
      <c r="D31" s="31"/>
      <c r="E31" s="31"/>
      <c r="F31" s="32">
        <f t="shared" si="2"/>
        <v>0</v>
      </c>
      <c r="G31" s="31">
        <f t="shared" si="1"/>
        <v>2485744.33</v>
      </c>
      <c r="H31" s="33">
        <v>0</v>
      </c>
      <c r="I31" s="34">
        <v>0</v>
      </c>
      <c r="J31" s="23"/>
      <c r="K31" s="1"/>
    </row>
    <row r="32" spans="2:12" x14ac:dyDescent="0.35">
      <c r="B32" s="5"/>
      <c r="C32" s="5"/>
      <c r="D32" s="6"/>
      <c r="E32" s="6"/>
      <c r="F32" s="6"/>
      <c r="G32" s="6"/>
      <c r="H32" s="7"/>
      <c r="I32" s="6"/>
      <c r="J32" s="5"/>
      <c r="K32" s="1"/>
      <c r="L32" s="40"/>
    </row>
    <row r="33" spans="2:12" x14ac:dyDescent="0.35">
      <c r="B33" s="8" t="s">
        <v>44</v>
      </c>
      <c r="C33" s="5"/>
      <c r="D33" s="5"/>
      <c r="E33" s="5"/>
      <c r="F33" s="5"/>
      <c r="G33" s="5"/>
      <c r="H33" s="5"/>
      <c r="I33" s="5"/>
      <c r="J33" s="5"/>
      <c r="K33" s="1"/>
    </row>
    <row r="34" spans="2:12" x14ac:dyDescent="0.35">
      <c r="B34" s="9" t="s">
        <v>45</v>
      </c>
      <c r="C34" s="5"/>
      <c r="D34" s="5"/>
      <c r="E34" s="5"/>
      <c r="F34" s="5"/>
      <c r="G34" s="5"/>
      <c r="H34" s="5"/>
      <c r="I34" s="5"/>
      <c r="J34" s="5"/>
      <c r="K34" s="1"/>
    </row>
    <row r="35" spans="2:12" x14ac:dyDescent="0.35">
      <c r="B35" s="9" t="s">
        <v>46</v>
      </c>
      <c r="C35" s="5"/>
      <c r="D35" s="5"/>
      <c r="E35" s="5"/>
      <c r="F35" s="5"/>
      <c r="G35" s="5"/>
      <c r="H35" s="5"/>
      <c r="I35" s="5"/>
      <c r="J35" s="5"/>
      <c r="K35" s="1"/>
      <c r="L35" s="40"/>
    </row>
    <row r="36" spans="2:12" x14ac:dyDescent="0.35">
      <c r="B36" s="9" t="s">
        <v>47</v>
      </c>
      <c r="C36" s="5"/>
      <c r="D36" s="5"/>
      <c r="E36" s="5"/>
      <c r="F36" s="5"/>
      <c r="G36" s="5"/>
      <c r="H36" s="5"/>
      <c r="I36" s="5"/>
      <c r="J36" s="5"/>
      <c r="K36" s="1"/>
    </row>
    <row r="37" spans="2:12" x14ac:dyDescent="0.35">
      <c r="B37" s="9"/>
      <c r="C37" s="5"/>
      <c r="D37" s="5"/>
      <c r="E37" s="5"/>
      <c r="F37" s="5"/>
      <c r="G37" s="5"/>
      <c r="H37" s="5"/>
      <c r="I37" s="5"/>
      <c r="J37" s="5"/>
      <c r="K37" s="1"/>
    </row>
    <row r="38" spans="2:12" x14ac:dyDescent="0.35">
      <c r="B38" s="9"/>
      <c r="C38" s="5"/>
      <c r="D38" s="5"/>
      <c r="E38" s="5"/>
      <c r="F38" s="5"/>
      <c r="G38" s="5"/>
      <c r="H38" s="5"/>
      <c r="I38" s="5"/>
      <c r="J38" s="5"/>
      <c r="K38" s="1"/>
    </row>
    <row r="39" spans="2:12" ht="18.5" x14ac:dyDescent="0.45">
      <c r="B39" s="10"/>
      <c r="C39" s="10"/>
      <c r="D39" s="163" t="s">
        <v>48</v>
      </c>
      <c r="E39" s="163"/>
      <c r="F39" s="163"/>
      <c r="G39" s="163"/>
      <c r="H39" s="163"/>
      <c r="I39" s="163"/>
      <c r="J39" s="10"/>
    </row>
    <row r="40" spans="2:12" s="38" customFormat="1" ht="16" x14ac:dyDescent="0.4">
      <c r="B40" s="28"/>
      <c r="C40" s="28"/>
      <c r="D40" s="164" t="s">
        <v>55</v>
      </c>
      <c r="E40" s="164"/>
      <c r="F40" s="164"/>
      <c r="G40" s="164"/>
      <c r="H40" s="164"/>
      <c r="I40" s="164"/>
      <c r="J40" s="28"/>
    </row>
    <row r="41" spans="2:12" ht="15.9" customHeight="1" x14ac:dyDescent="0.4">
      <c r="B41" s="124" t="s">
        <v>6</v>
      </c>
      <c r="C41" s="124"/>
      <c r="D41" s="124"/>
      <c r="E41" s="124"/>
      <c r="F41" s="124"/>
      <c r="G41" s="124"/>
      <c r="H41" s="124"/>
      <c r="I41" s="124"/>
      <c r="J41" s="124"/>
    </row>
    <row r="42" spans="2:12" ht="14.4" customHeight="1" x14ac:dyDescent="0.35">
      <c r="B42" s="15"/>
      <c r="C42" s="16"/>
      <c r="D42" s="148" t="s">
        <v>7</v>
      </c>
      <c r="E42" s="149"/>
      <c r="F42" s="149"/>
      <c r="G42" s="150"/>
      <c r="H42" s="151" t="s">
        <v>8</v>
      </c>
      <c r="I42" s="152"/>
      <c r="J42" s="4"/>
    </row>
    <row r="43" spans="2:12" x14ac:dyDescent="0.35">
      <c r="B43" s="13"/>
      <c r="C43" s="14"/>
      <c r="D43" s="155" t="s">
        <v>10</v>
      </c>
      <c r="E43" s="156"/>
      <c r="F43" s="156"/>
      <c r="G43" s="157"/>
      <c r="H43" s="153"/>
      <c r="I43" s="154"/>
      <c r="J43" s="4"/>
    </row>
    <row r="44" spans="2:12" ht="14.4" customHeight="1" x14ac:dyDescent="0.35">
      <c r="B44" s="128" t="s">
        <v>11</v>
      </c>
      <c r="C44" s="130" t="s">
        <v>12</v>
      </c>
      <c r="D44" s="20" t="s">
        <v>13</v>
      </c>
      <c r="E44" s="20" t="s">
        <v>14</v>
      </c>
      <c r="F44" s="20" t="s">
        <v>15</v>
      </c>
      <c r="G44" s="20" t="s">
        <v>16</v>
      </c>
      <c r="H44" s="158" t="s">
        <v>17</v>
      </c>
      <c r="I44" s="130" t="s">
        <v>18</v>
      </c>
      <c r="J44" s="21"/>
    </row>
    <row r="45" spans="2:12" ht="40.65" customHeight="1" x14ac:dyDescent="0.35">
      <c r="B45" s="129"/>
      <c r="C45" s="131"/>
      <c r="D45" s="160" t="s">
        <v>21</v>
      </c>
      <c r="E45" s="161"/>
      <c r="F45" s="161"/>
      <c r="G45" s="162"/>
      <c r="H45" s="159"/>
      <c r="I45" s="131"/>
      <c r="J45" s="21"/>
    </row>
    <row r="46" spans="2:12" x14ac:dyDescent="0.35">
      <c r="B46" s="43">
        <v>4</v>
      </c>
      <c r="C46" s="41" t="s">
        <v>22</v>
      </c>
      <c r="D46" s="22">
        <v>280686</v>
      </c>
      <c r="E46" s="22">
        <v>0</v>
      </c>
      <c r="F46" s="61">
        <f>+D46+E46</f>
        <v>280686</v>
      </c>
      <c r="G46" s="22">
        <f>+F46</f>
        <v>280686</v>
      </c>
      <c r="H46" s="62">
        <f t="shared" ref="H46:H51" si="4">((G46-I46)/I46)*100</f>
        <v>73.341073446676589</v>
      </c>
      <c r="I46" s="22">
        <v>161927</v>
      </c>
      <c r="J46" s="23"/>
    </row>
    <row r="47" spans="2:12" x14ac:dyDescent="0.35">
      <c r="B47" s="43">
        <v>5</v>
      </c>
      <c r="C47" s="41" t="s">
        <v>23</v>
      </c>
      <c r="D47" s="27">
        <v>661021.81000000006</v>
      </c>
      <c r="E47" s="27">
        <v>0</v>
      </c>
      <c r="F47" s="65">
        <f>+E47+D47</f>
        <v>661021.81000000006</v>
      </c>
      <c r="G47" s="27">
        <f>+G46+F47</f>
        <v>941707.81</v>
      </c>
      <c r="H47" s="66">
        <f t="shared" si="4"/>
        <v>-24.687755279860792</v>
      </c>
      <c r="I47" s="27">
        <v>1250404.6499999999</v>
      </c>
      <c r="J47" s="23"/>
    </row>
    <row r="48" spans="2:12" x14ac:dyDescent="0.35">
      <c r="B48" s="43">
        <v>6</v>
      </c>
      <c r="C48" s="41" t="s">
        <v>24</v>
      </c>
      <c r="D48" s="27">
        <f>604039.5+79989</f>
        <v>684028.5</v>
      </c>
      <c r="E48" s="27">
        <v>-79989</v>
      </c>
      <c r="F48" s="65">
        <f>+E48+D48</f>
        <v>604039.5</v>
      </c>
      <c r="G48" s="27">
        <f t="shared" ref="G48" si="5">+G47+F48</f>
        <v>1545747.31</v>
      </c>
      <c r="H48" s="66">
        <f t="shared" si="4"/>
        <v>-30.435922547979683</v>
      </c>
      <c r="I48" s="27">
        <f>+I47+971643.52</f>
        <v>2222048.17</v>
      </c>
      <c r="J48" s="23"/>
    </row>
    <row r="49" spans="2:10" x14ac:dyDescent="0.35">
      <c r="B49" s="43">
        <v>7</v>
      </c>
      <c r="C49" s="41" t="s">
        <v>25</v>
      </c>
      <c r="D49" s="27">
        <v>105227.5</v>
      </c>
      <c r="E49" s="27">
        <v>214273</v>
      </c>
      <c r="F49" s="65">
        <f t="shared" ref="F49:F68" si="6">+E49+D49</f>
        <v>319500.5</v>
      </c>
      <c r="G49" s="27">
        <f>+G48+F49</f>
        <v>1865247.81</v>
      </c>
      <c r="H49" s="66">
        <f t="shared" si="4"/>
        <v>-40.229806019032388</v>
      </c>
      <c r="I49" s="27">
        <f>+I48+898650.77</f>
        <v>3120698.94</v>
      </c>
      <c r="J49" s="23"/>
    </row>
    <row r="50" spans="2:10" x14ac:dyDescent="0.35">
      <c r="B50" s="43">
        <v>8</v>
      </c>
      <c r="C50" s="41" t="s">
        <v>26</v>
      </c>
      <c r="D50" s="27">
        <v>305410.52</v>
      </c>
      <c r="E50" s="27">
        <v>0</v>
      </c>
      <c r="F50" s="65">
        <f t="shared" si="6"/>
        <v>305410.52</v>
      </c>
      <c r="G50" s="27">
        <f t="shared" ref="G50:G51" si="7">+G49+F50</f>
        <v>2170658.33</v>
      </c>
      <c r="H50" s="66">
        <f t="shared" si="4"/>
        <v>-47.584349127515843</v>
      </c>
      <c r="I50" s="27">
        <f>+I49+1020541.88</f>
        <v>4141240.82</v>
      </c>
      <c r="J50" s="23"/>
    </row>
    <row r="51" spans="2:10" x14ac:dyDescent="0.35">
      <c r="B51" s="43">
        <v>9</v>
      </c>
      <c r="C51" s="41" t="s">
        <v>27</v>
      </c>
      <c r="D51" s="27">
        <v>147250.5</v>
      </c>
      <c r="E51" s="27">
        <v>0</v>
      </c>
      <c r="F51" s="65">
        <f t="shared" si="6"/>
        <v>147250.5</v>
      </c>
      <c r="G51" s="68">
        <f t="shared" si="7"/>
        <v>2317908.83</v>
      </c>
      <c r="H51" s="66">
        <f t="shared" si="4"/>
        <v>-51.577909864378427</v>
      </c>
      <c r="I51" s="27">
        <f>+I50+645642.24</f>
        <v>4786883.0599999996</v>
      </c>
      <c r="J51" s="23"/>
    </row>
    <row r="52" spans="2:10" hidden="1" x14ac:dyDescent="0.35">
      <c r="B52" s="11">
        <v>10</v>
      </c>
      <c r="C52" s="17" t="s">
        <v>50</v>
      </c>
      <c r="D52" s="25"/>
      <c r="E52" s="25"/>
      <c r="F52" s="26">
        <f t="shared" si="6"/>
        <v>0</v>
      </c>
      <c r="G52" s="25">
        <f t="shared" ref="G52:G68" si="8">+G51+F52</f>
        <v>2317908.83</v>
      </c>
      <c r="H52" s="12">
        <v>0</v>
      </c>
      <c r="I52" s="27">
        <v>0</v>
      </c>
      <c r="J52" s="23"/>
    </row>
    <row r="53" spans="2:10" hidden="1" x14ac:dyDescent="0.35">
      <c r="B53" s="11">
        <v>11</v>
      </c>
      <c r="C53" s="17" t="s">
        <v>28</v>
      </c>
      <c r="D53" s="25"/>
      <c r="E53" s="25"/>
      <c r="F53" s="26">
        <f t="shared" si="6"/>
        <v>0</v>
      </c>
      <c r="G53" s="25">
        <f t="shared" si="8"/>
        <v>2317908.83</v>
      </c>
      <c r="H53" s="12">
        <v>0</v>
      </c>
      <c r="I53" s="27">
        <v>0</v>
      </c>
      <c r="J53" s="23"/>
    </row>
    <row r="54" spans="2:10" hidden="1" x14ac:dyDescent="0.35">
      <c r="B54" s="11">
        <v>12</v>
      </c>
      <c r="C54" s="17" t="s">
        <v>29</v>
      </c>
      <c r="D54" s="25"/>
      <c r="E54" s="25"/>
      <c r="F54" s="26">
        <f t="shared" si="6"/>
        <v>0</v>
      </c>
      <c r="G54" s="25">
        <f t="shared" si="8"/>
        <v>2317908.83</v>
      </c>
      <c r="H54" s="12">
        <v>0</v>
      </c>
      <c r="I54" s="27">
        <v>0</v>
      </c>
      <c r="J54" s="23"/>
    </row>
    <row r="55" spans="2:10" hidden="1" x14ac:dyDescent="0.35">
      <c r="B55" s="11">
        <v>13</v>
      </c>
      <c r="C55" s="17" t="s">
        <v>30</v>
      </c>
      <c r="D55" s="25"/>
      <c r="E55" s="25"/>
      <c r="F55" s="26">
        <f t="shared" si="6"/>
        <v>0</v>
      </c>
      <c r="G55" s="25">
        <f t="shared" si="8"/>
        <v>2317908.83</v>
      </c>
      <c r="H55" s="12">
        <v>0</v>
      </c>
      <c r="I55" s="27">
        <v>0</v>
      </c>
      <c r="J55" s="23"/>
    </row>
    <row r="56" spans="2:10" hidden="1" x14ac:dyDescent="0.35">
      <c r="B56" s="11">
        <v>14</v>
      </c>
      <c r="C56" s="18" t="s">
        <v>31</v>
      </c>
      <c r="D56" s="25"/>
      <c r="E56" s="25"/>
      <c r="F56" s="26">
        <f t="shared" si="6"/>
        <v>0</v>
      </c>
      <c r="G56" s="25">
        <f t="shared" si="8"/>
        <v>2317908.83</v>
      </c>
      <c r="H56" s="12">
        <v>0</v>
      </c>
      <c r="I56" s="27">
        <v>0</v>
      </c>
      <c r="J56" s="23"/>
    </row>
    <row r="57" spans="2:10" hidden="1" x14ac:dyDescent="0.35">
      <c r="B57" s="11">
        <v>15</v>
      </c>
      <c r="C57" s="17" t="s">
        <v>32</v>
      </c>
      <c r="D57" s="25"/>
      <c r="E57" s="25"/>
      <c r="F57" s="26">
        <f t="shared" si="6"/>
        <v>0</v>
      </c>
      <c r="G57" s="25">
        <f t="shared" si="8"/>
        <v>2317908.83</v>
      </c>
      <c r="H57" s="12">
        <v>0</v>
      </c>
      <c r="I57" s="27">
        <v>0</v>
      </c>
      <c r="J57" s="23"/>
    </row>
    <row r="58" spans="2:10" hidden="1" x14ac:dyDescent="0.35">
      <c r="B58" s="11">
        <v>16</v>
      </c>
      <c r="C58" s="17" t="s">
        <v>33</v>
      </c>
      <c r="D58" s="25"/>
      <c r="E58" s="25"/>
      <c r="F58" s="26">
        <f t="shared" si="6"/>
        <v>0</v>
      </c>
      <c r="G58" s="25">
        <f t="shared" si="8"/>
        <v>2317908.83</v>
      </c>
      <c r="H58" s="12">
        <v>0</v>
      </c>
      <c r="I58" s="27">
        <v>0</v>
      </c>
      <c r="J58" s="23"/>
    </row>
    <row r="59" spans="2:10" hidden="1" x14ac:dyDescent="0.35">
      <c r="B59" s="11">
        <v>17</v>
      </c>
      <c r="C59" s="17" t="s">
        <v>34</v>
      </c>
      <c r="D59" s="25"/>
      <c r="E59" s="25"/>
      <c r="F59" s="26">
        <f t="shared" si="6"/>
        <v>0</v>
      </c>
      <c r="G59" s="25">
        <f t="shared" si="8"/>
        <v>2317908.83</v>
      </c>
      <c r="H59" s="12">
        <v>0</v>
      </c>
      <c r="I59" s="27">
        <v>0</v>
      </c>
      <c r="J59" s="23"/>
    </row>
    <row r="60" spans="2:10" hidden="1" x14ac:dyDescent="0.35">
      <c r="B60" s="11">
        <v>18</v>
      </c>
      <c r="C60" s="17" t="s">
        <v>35</v>
      </c>
      <c r="D60" s="25"/>
      <c r="E60" s="25"/>
      <c r="F60" s="26">
        <f t="shared" si="6"/>
        <v>0</v>
      </c>
      <c r="G60" s="25">
        <f t="shared" si="8"/>
        <v>2317908.83</v>
      </c>
      <c r="H60" s="12">
        <v>0</v>
      </c>
      <c r="I60" s="27">
        <v>0</v>
      </c>
      <c r="J60" s="23"/>
    </row>
    <row r="61" spans="2:10" hidden="1" x14ac:dyDescent="0.35">
      <c r="B61" s="11">
        <v>19</v>
      </c>
      <c r="C61" s="17" t="s">
        <v>36</v>
      </c>
      <c r="D61" s="25"/>
      <c r="E61" s="25"/>
      <c r="F61" s="26">
        <f t="shared" si="6"/>
        <v>0</v>
      </c>
      <c r="G61" s="25">
        <f t="shared" si="8"/>
        <v>2317908.83</v>
      </c>
      <c r="H61" s="12">
        <v>0</v>
      </c>
      <c r="I61" s="27">
        <v>0</v>
      </c>
      <c r="J61" s="23"/>
    </row>
    <row r="62" spans="2:10" hidden="1" x14ac:dyDescent="0.35">
      <c r="B62" s="11">
        <v>20</v>
      </c>
      <c r="C62" s="17" t="s">
        <v>37</v>
      </c>
      <c r="D62" s="25"/>
      <c r="E62" s="25"/>
      <c r="F62" s="26">
        <f t="shared" si="6"/>
        <v>0</v>
      </c>
      <c r="G62" s="25">
        <f t="shared" si="8"/>
        <v>2317908.83</v>
      </c>
      <c r="H62" s="12">
        <v>0</v>
      </c>
      <c r="I62" s="27">
        <v>0</v>
      </c>
      <c r="J62" s="23"/>
    </row>
    <row r="63" spans="2:10" hidden="1" x14ac:dyDescent="0.35">
      <c r="B63" s="11">
        <v>21</v>
      </c>
      <c r="C63" s="17" t="s">
        <v>38</v>
      </c>
      <c r="D63" s="25"/>
      <c r="E63" s="25"/>
      <c r="F63" s="26">
        <f t="shared" si="6"/>
        <v>0</v>
      </c>
      <c r="G63" s="25">
        <f t="shared" si="8"/>
        <v>2317908.83</v>
      </c>
      <c r="H63" s="12">
        <v>0</v>
      </c>
      <c r="I63" s="27">
        <v>0</v>
      </c>
      <c r="J63" s="23"/>
    </row>
    <row r="64" spans="2:10" hidden="1" x14ac:dyDescent="0.35">
      <c r="B64" s="11">
        <v>22</v>
      </c>
      <c r="C64" s="17" t="s">
        <v>39</v>
      </c>
      <c r="D64" s="25"/>
      <c r="E64" s="25"/>
      <c r="F64" s="26">
        <f t="shared" si="6"/>
        <v>0</v>
      </c>
      <c r="G64" s="25">
        <f t="shared" si="8"/>
        <v>2317908.83</v>
      </c>
      <c r="H64" s="12">
        <v>0</v>
      </c>
      <c r="I64" s="27">
        <v>0</v>
      </c>
      <c r="J64" s="23"/>
    </row>
    <row r="65" spans="2:10" hidden="1" x14ac:dyDescent="0.35">
      <c r="B65" s="11">
        <v>23</v>
      </c>
      <c r="C65" s="17" t="s">
        <v>40</v>
      </c>
      <c r="D65" s="25"/>
      <c r="E65" s="25"/>
      <c r="F65" s="26">
        <f t="shared" si="6"/>
        <v>0</v>
      </c>
      <c r="G65" s="25">
        <f t="shared" si="8"/>
        <v>2317908.83</v>
      </c>
      <c r="H65" s="12">
        <v>0</v>
      </c>
      <c r="I65" s="27">
        <v>0</v>
      </c>
      <c r="J65" s="23"/>
    </row>
    <row r="66" spans="2:10" hidden="1" x14ac:dyDescent="0.35">
      <c r="B66" s="11">
        <v>24</v>
      </c>
      <c r="C66" s="17" t="s">
        <v>41</v>
      </c>
      <c r="D66" s="25"/>
      <c r="E66" s="25"/>
      <c r="F66" s="26">
        <f t="shared" si="6"/>
        <v>0</v>
      </c>
      <c r="G66" s="25">
        <f t="shared" si="8"/>
        <v>2317908.83</v>
      </c>
      <c r="H66" s="12">
        <v>0</v>
      </c>
      <c r="I66" s="27">
        <v>0</v>
      </c>
      <c r="J66" s="23"/>
    </row>
    <row r="67" spans="2:10" hidden="1" x14ac:dyDescent="0.35">
      <c r="B67" s="11">
        <v>25</v>
      </c>
      <c r="C67" s="19" t="s">
        <v>42</v>
      </c>
      <c r="D67" s="25"/>
      <c r="E67" s="25"/>
      <c r="F67" s="26">
        <f t="shared" si="6"/>
        <v>0</v>
      </c>
      <c r="G67" s="25">
        <f t="shared" si="8"/>
        <v>2317908.83</v>
      </c>
      <c r="H67" s="12">
        <v>0</v>
      </c>
      <c r="I67" s="27">
        <v>0</v>
      </c>
      <c r="J67" s="23"/>
    </row>
    <row r="68" spans="2:10" hidden="1" x14ac:dyDescent="0.35">
      <c r="B68" s="29">
        <v>26</v>
      </c>
      <c r="C68" s="30" t="s">
        <v>43</v>
      </c>
      <c r="D68" s="31"/>
      <c r="E68" s="31"/>
      <c r="F68" s="32">
        <f t="shared" si="6"/>
        <v>0</v>
      </c>
      <c r="G68" s="31">
        <f t="shared" si="8"/>
        <v>2317908.83</v>
      </c>
      <c r="H68" s="33">
        <v>0</v>
      </c>
      <c r="I68" s="34">
        <v>0</v>
      </c>
      <c r="J68" s="23"/>
    </row>
    <row r="69" spans="2:10" x14ac:dyDescent="0.35">
      <c r="B69" s="5"/>
      <c r="C69" s="5"/>
      <c r="D69" s="6"/>
      <c r="E69" s="6"/>
      <c r="F69" s="6"/>
      <c r="G69" s="6"/>
      <c r="H69" s="7"/>
      <c r="I69" s="6"/>
      <c r="J69" s="5"/>
    </row>
    <row r="70" spans="2:10" x14ac:dyDescent="0.35">
      <c r="B70" s="8" t="s">
        <v>44</v>
      </c>
      <c r="C70" s="5"/>
      <c r="D70" s="5"/>
      <c r="E70" s="5"/>
      <c r="F70" s="5"/>
      <c r="G70" s="5"/>
      <c r="H70" s="5"/>
      <c r="I70" s="5"/>
      <c r="J70" s="5"/>
    </row>
    <row r="71" spans="2:10" x14ac:dyDescent="0.35">
      <c r="B71" s="9" t="s">
        <v>45</v>
      </c>
      <c r="C71" s="5"/>
      <c r="D71" s="5"/>
      <c r="E71" s="5"/>
      <c r="F71" s="5"/>
      <c r="G71" s="5"/>
      <c r="H71" s="5"/>
      <c r="I71" s="5"/>
      <c r="J71" s="5"/>
    </row>
    <row r="72" spans="2:10" x14ac:dyDescent="0.35">
      <c r="B72" s="9" t="s">
        <v>46</v>
      </c>
      <c r="C72" s="5"/>
      <c r="D72" s="5"/>
      <c r="E72" s="5"/>
      <c r="F72" s="5"/>
      <c r="G72" s="5"/>
      <c r="H72" s="5"/>
      <c r="I72" s="5"/>
      <c r="J72" s="5"/>
    </row>
    <row r="73" spans="2:10" x14ac:dyDescent="0.35">
      <c r="B73" s="9" t="s">
        <v>47</v>
      </c>
      <c r="C73" s="5"/>
      <c r="D73" s="5"/>
      <c r="E73" s="5"/>
      <c r="F73" s="5"/>
      <c r="G73" s="5"/>
      <c r="H73" s="5"/>
      <c r="I73" s="5"/>
      <c r="J73" s="5"/>
    </row>
    <row r="74" spans="2:10" x14ac:dyDescent="0.35">
      <c r="B74" s="10"/>
      <c r="C74" s="10"/>
      <c r="D74" s="10"/>
      <c r="E74" s="10"/>
      <c r="F74" s="10"/>
      <c r="G74" s="10"/>
      <c r="H74" s="10"/>
      <c r="I74" s="10"/>
      <c r="J74" s="10"/>
    </row>
    <row r="75" spans="2:10" x14ac:dyDescent="0.35">
      <c r="B75" s="10"/>
      <c r="C75" s="10"/>
      <c r="D75" s="10"/>
      <c r="E75" s="10"/>
      <c r="F75" s="10"/>
      <c r="G75" s="10"/>
      <c r="H75" s="10"/>
      <c r="I75" s="10"/>
      <c r="J75" s="10"/>
    </row>
    <row r="76" spans="2:10" ht="18.5" x14ac:dyDescent="0.45">
      <c r="B76" s="10"/>
      <c r="C76" s="10"/>
      <c r="D76" s="165" t="s">
        <v>51</v>
      </c>
      <c r="E76" s="165"/>
      <c r="F76" s="165"/>
      <c r="G76" s="165"/>
      <c r="H76" s="165"/>
      <c r="I76" s="165"/>
      <c r="J76" s="10"/>
    </row>
    <row r="77" spans="2:10" s="38" customFormat="1" ht="16" x14ac:dyDescent="0.4">
      <c r="B77" s="28"/>
      <c r="C77" s="28"/>
      <c r="D77" s="166" t="s">
        <v>55</v>
      </c>
      <c r="E77" s="166"/>
      <c r="F77" s="166"/>
      <c r="G77" s="166"/>
      <c r="H77" s="166"/>
      <c r="I77" s="166"/>
      <c r="J77" s="28"/>
    </row>
    <row r="78" spans="2:10" ht="15.9" customHeight="1" x14ac:dyDescent="0.4">
      <c r="B78" s="124" t="s">
        <v>6</v>
      </c>
      <c r="C78" s="124"/>
      <c r="D78" s="124"/>
      <c r="E78" s="124"/>
      <c r="F78" s="124"/>
      <c r="G78" s="124"/>
      <c r="H78" s="124"/>
      <c r="I78" s="124"/>
      <c r="J78" s="124"/>
    </row>
    <row r="79" spans="2:10" ht="14.4" customHeight="1" x14ac:dyDescent="0.35">
      <c r="B79" s="15"/>
      <c r="C79" s="16"/>
      <c r="D79" s="148" t="s">
        <v>7</v>
      </c>
      <c r="E79" s="149"/>
      <c r="F79" s="149"/>
      <c r="G79" s="150"/>
      <c r="H79" s="151" t="s">
        <v>8</v>
      </c>
      <c r="I79" s="152"/>
      <c r="J79" s="4"/>
    </row>
    <row r="80" spans="2:10" x14ac:dyDescent="0.35">
      <c r="B80" s="13"/>
      <c r="C80" s="14"/>
      <c r="D80" s="155" t="s">
        <v>10</v>
      </c>
      <c r="E80" s="156"/>
      <c r="F80" s="156"/>
      <c r="G80" s="157"/>
      <c r="H80" s="153"/>
      <c r="I80" s="154"/>
      <c r="J80" s="4"/>
    </row>
    <row r="81" spans="2:10" ht="14.4" customHeight="1" x14ac:dyDescent="0.35">
      <c r="B81" s="128" t="s">
        <v>11</v>
      </c>
      <c r="C81" s="130" t="s">
        <v>12</v>
      </c>
      <c r="D81" s="20" t="s">
        <v>13</v>
      </c>
      <c r="E81" s="20" t="s">
        <v>14</v>
      </c>
      <c r="F81" s="20" t="s">
        <v>15</v>
      </c>
      <c r="G81" s="20" t="s">
        <v>16</v>
      </c>
      <c r="H81" s="158" t="s">
        <v>17</v>
      </c>
      <c r="I81" s="130" t="s">
        <v>18</v>
      </c>
      <c r="J81" s="21"/>
    </row>
    <row r="82" spans="2:10" ht="38.4" customHeight="1" x14ac:dyDescent="0.35">
      <c r="B82" s="129"/>
      <c r="C82" s="131"/>
      <c r="D82" s="160" t="s">
        <v>21</v>
      </c>
      <c r="E82" s="161"/>
      <c r="F82" s="161"/>
      <c r="G82" s="162"/>
      <c r="H82" s="159"/>
      <c r="I82" s="131"/>
      <c r="J82" s="21"/>
    </row>
    <row r="83" spans="2:10" x14ac:dyDescent="0.35">
      <c r="B83" s="43">
        <v>4</v>
      </c>
      <c r="C83" s="41" t="s">
        <v>22</v>
      </c>
      <c r="D83" s="22">
        <v>0</v>
      </c>
      <c r="E83" s="22">
        <v>0</v>
      </c>
      <c r="F83" s="61">
        <f>+D83+E83</f>
        <v>0</v>
      </c>
      <c r="G83" s="22">
        <f>+F83</f>
        <v>0</v>
      </c>
      <c r="H83" s="62" t="e">
        <f t="shared" ref="H83:H88" si="9">((G83-I83)/I83)*100</f>
        <v>#DIV/0!</v>
      </c>
      <c r="I83" s="22">
        <v>0</v>
      </c>
      <c r="J83" s="23"/>
    </row>
    <row r="84" spans="2:10" x14ac:dyDescent="0.35">
      <c r="B84" s="43">
        <v>5</v>
      </c>
      <c r="C84" s="41" t="s">
        <v>23</v>
      </c>
      <c r="D84" s="27">
        <v>0</v>
      </c>
      <c r="E84" s="27">
        <v>0</v>
      </c>
      <c r="F84" s="65">
        <f>+E84+D84</f>
        <v>0</v>
      </c>
      <c r="G84" s="27">
        <f>+G83+F84</f>
        <v>0</v>
      </c>
      <c r="H84" s="66" t="e">
        <f t="shared" si="9"/>
        <v>#DIV/0!</v>
      </c>
      <c r="I84" s="27">
        <v>0</v>
      </c>
      <c r="J84" s="23"/>
    </row>
    <row r="85" spans="2:10" x14ac:dyDescent="0.35">
      <c r="B85" s="43">
        <v>6</v>
      </c>
      <c r="C85" s="41" t="s">
        <v>24</v>
      </c>
      <c r="D85" s="27">
        <v>0</v>
      </c>
      <c r="E85" s="27">
        <v>0</v>
      </c>
      <c r="F85" s="65">
        <f>+E85+D85</f>
        <v>0</v>
      </c>
      <c r="G85" s="27">
        <f t="shared" ref="G85" si="10">+G84+F85</f>
        <v>0</v>
      </c>
      <c r="H85" s="66" t="e">
        <f t="shared" si="9"/>
        <v>#DIV/0!</v>
      </c>
      <c r="I85" s="27">
        <v>0</v>
      </c>
      <c r="J85" s="23"/>
    </row>
    <row r="86" spans="2:10" x14ac:dyDescent="0.35">
      <c r="B86" s="43">
        <v>7</v>
      </c>
      <c r="C86" s="41" t="s">
        <v>25</v>
      </c>
      <c r="D86" s="27">
        <v>1122</v>
      </c>
      <c r="E86" s="27">
        <v>161862</v>
      </c>
      <c r="F86" s="65">
        <f t="shared" ref="F86:F105" si="11">+E86+D86</f>
        <v>162984</v>
      </c>
      <c r="G86" s="27">
        <f>+G85+F86</f>
        <v>162984</v>
      </c>
      <c r="H86" s="66" t="e">
        <f t="shared" si="9"/>
        <v>#DIV/0!</v>
      </c>
      <c r="I86" s="27">
        <v>0</v>
      </c>
      <c r="J86" s="23"/>
    </row>
    <row r="87" spans="2:10" x14ac:dyDescent="0.35">
      <c r="B87" s="43">
        <v>8</v>
      </c>
      <c r="C87" s="41" t="s">
        <v>26</v>
      </c>
      <c r="D87" s="27">
        <v>0</v>
      </c>
      <c r="E87" s="27">
        <v>0</v>
      </c>
      <c r="F87" s="65">
        <f t="shared" si="11"/>
        <v>0</v>
      </c>
      <c r="G87" s="27">
        <f t="shared" ref="G87:G88" si="12">+G86+F87</f>
        <v>162984</v>
      </c>
      <c r="H87" s="66" t="e">
        <f t="shared" si="9"/>
        <v>#DIV/0!</v>
      </c>
      <c r="I87" s="27">
        <v>0</v>
      </c>
      <c r="J87" s="23"/>
    </row>
    <row r="88" spans="2:10" x14ac:dyDescent="0.35">
      <c r="B88" s="43">
        <v>9</v>
      </c>
      <c r="C88" s="41" t="s">
        <v>27</v>
      </c>
      <c r="D88" s="25">
        <v>2454</v>
      </c>
      <c r="E88" s="25">
        <v>0</v>
      </c>
      <c r="F88" s="65">
        <f t="shared" si="11"/>
        <v>2454</v>
      </c>
      <c r="G88" s="69">
        <f t="shared" si="12"/>
        <v>165438</v>
      </c>
      <c r="H88" s="66" t="e">
        <f t="shared" si="9"/>
        <v>#DIV/0!</v>
      </c>
      <c r="I88" s="27">
        <v>0</v>
      </c>
      <c r="J88" s="23"/>
    </row>
    <row r="89" spans="2:10" hidden="1" x14ac:dyDescent="0.35">
      <c r="B89" s="11">
        <v>10</v>
      </c>
      <c r="C89" s="17" t="s">
        <v>50</v>
      </c>
      <c r="D89" s="25"/>
      <c r="E89" s="25"/>
      <c r="F89" s="26">
        <f t="shared" si="11"/>
        <v>0</v>
      </c>
      <c r="G89" s="25">
        <f t="shared" ref="G89:G105" si="13">+G88+F89</f>
        <v>165438</v>
      </c>
      <c r="H89" s="12">
        <v>0</v>
      </c>
      <c r="I89" s="27">
        <v>0</v>
      </c>
      <c r="J89" s="23"/>
    </row>
    <row r="90" spans="2:10" hidden="1" x14ac:dyDescent="0.35">
      <c r="B90" s="11">
        <v>11</v>
      </c>
      <c r="C90" s="17" t="s">
        <v>28</v>
      </c>
      <c r="D90" s="25"/>
      <c r="E90" s="25"/>
      <c r="F90" s="26">
        <f t="shared" si="11"/>
        <v>0</v>
      </c>
      <c r="G90" s="25">
        <f t="shared" si="13"/>
        <v>165438</v>
      </c>
      <c r="H90" s="12">
        <v>0</v>
      </c>
      <c r="I90" s="27">
        <v>0</v>
      </c>
      <c r="J90" s="23"/>
    </row>
    <row r="91" spans="2:10" hidden="1" x14ac:dyDescent="0.35">
      <c r="B91" s="11">
        <v>12</v>
      </c>
      <c r="C91" s="17" t="s">
        <v>29</v>
      </c>
      <c r="D91" s="25"/>
      <c r="E91" s="25"/>
      <c r="F91" s="26">
        <f t="shared" si="11"/>
        <v>0</v>
      </c>
      <c r="G91" s="25">
        <f t="shared" si="13"/>
        <v>165438</v>
      </c>
      <c r="H91" s="12">
        <v>0</v>
      </c>
      <c r="I91" s="27">
        <v>0</v>
      </c>
      <c r="J91" s="23"/>
    </row>
    <row r="92" spans="2:10" hidden="1" x14ac:dyDescent="0.35">
      <c r="B92" s="11">
        <v>13</v>
      </c>
      <c r="C92" s="17" t="s">
        <v>30</v>
      </c>
      <c r="D92" s="25"/>
      <c r="E92" s="25"/>
      <c r="F92" s="26">
        <f t="shared" si="11"/>
        <v>0</v>
      </c>
      <c r="G92" s="25">
        <f t="shared" si="13"/>
        <v>165438</v>
      </c>
      <c r="H92" s="12">
        <v>0</v>
      </c>
      <c r="I92" s="27">
        <v>0</v>
      </c>
      <c r="J92" s="23"/>
    </row>
    <row r="93" spans="2:10" hidden="1" x14ac:dyDescent="0.35">
      <c r="B93" s="11">
        <v>14</v>
      </c>
      <c r="C93" s="18" t="s">
        <v>31</v>
      </c>
      <c r="D93" s="25"/>
      <c r="E93" s="25"/>
      <c r="F93" s="26">
        <f t="shared" si="11"/>
        <v>0</v>
      </c>
      <c r="G93" s="25">
        <f t="shared" si="13"/>
        <v>165438</v>
      </c>
      <c r="H93" s="12">
        <v>0</v>
      </c>
      <c r="I93" s="27">
        <v>0</v>
      </c>
      <c r="J93" s="23"/>
    </row>
    <row r="94" spans="2:10" hidden="1" x14ac:dyDescent="0.35">
      <c r="B94" s="11">
        <v>15</v>
      </c>
      <c r="C94" s="17" t="s">
        <v>32</v>
      </c>
      <c r="D94" s="25"/>
      <c r="E94" s="25"/>
      <c r="F94" s="26">
        <f t="shared" si="11"/>
        <v>0</v>
      </c>
      <c r="G94" s="25">
        <f t="shared" si="13"/>
        <v>165438</v>
      </c>
      <c r="H94" s="12">
        <v>0</v>
      </c>
      <c r="I94" s="27">
        <v>0</v>
      </c>
      <c r="J94" s="23"/>
    </row>
    <row r="95" spans="2:10" hidden="1" x14ac:dyDescent="0.35">
      <c r="B95" s="11">
        <v>16</v>
      </c>
      <c r="C95" s="17" t="s">
        <v>33</v>
      </c>
      <c r="D95" s="25"/>
      <c r="E95" s="25"/>
      <c r="F95" s="26">
        <f t="shared" si="11"/>
        <v>0</v>
      </c>
      <c r="G95" s="25">
        <f t="shared" si="13"/>
        <v>165438</v>
      </c>
      <c r="H95" s="12">
        <v>0</v>
      </c>
      <c r="I95" s="27">
        <v>0</v>
      </c>
      <c r="J95" s="23"/>
    </row>
    <row r="96" spans="2:10" hidden="1" x14ac:dyDescent="0.35">
      <c r="B96" s="11">
        <v>17</v>
      </c>
      <c r="C96" s="17" t="s">
        <v>34</v>
      </c>
      <c r="D96" s="25"/>
      <c r="E96" s="25"/>
      <c r="F96" s="26">
        <f t="shared" si="11"/>
        <v>0</v>
      </c>
      <c r="G96" s="25">
        <f t="shared" si="13"/>
        <v>165438</v>
      </c>
      <c r="H96" s="12">
        <v>0</v>
      </c>
      <c r="I96" s="27">
        <v>0</v>
      </c>
      <c r="J96" s="23"/>
    </row>
    <row r="97" spans="2:10" hidden="1" x14ac:dyDescent="0.35">
      <c r="B97" s="11">
        <v>18</v>
      </c>
      <c r="C97" s="17" t="s">
        <v>35</v>
      </c>
      <c r="D97" s="25"/>
      <c r="E97" s="25"/>
      <c r="F97" s="26">
        <f t="shared" si="11"/>
        <v>0</v>
      </c>
      <c r="G97" s="25">
        <f t="shared" si="13"/>
        <v>165438</v>
      </c>
      <c r="H97" s="12">
        <v>0</v>
      </c>
      <c r="I97" s="27">
        <v>0</v>
      </c>
      <c r="J97" s="23"/>
    </row>
    <row r="98" spans="2:10" hidden="1" x14ac:dyDescent="0.35">
      <c r="B98" s="11">
        <v>19</v>
      </c>
      <c r="C98" s="17" t="s">
        <v>36</v>
      </c>
      <c r="D98" s="25"/>
      <c r="E98" s="25"/>
      <c r="F98" s="26">
        <f t="shared" si="11"/>
        <v>0</v>
      </c>
      <c r="G98" s="25">
        <f t="shared" si="13"/>
        <v>165438</v>
      </c>
      <c r="H98" s="12">
        <v>0</v>
      </c>
      <c r="I98" s="27">
        <v>0</v>
      </c>
      <c r="J98" s="23"/>
    </row>
    <row r="99" spans="2:10" hidden="1" x14ac:dyDescent="0.35">
      <c r="B99" s="11">
        <v>20</v>
      </c>
      <c r="C99" s="17" t="s">
        <v>37</v>
      </c>
      <c r="D99" s="25"/>
      <c r="E99" s="25"/>
      <c r="F99" s="26">
        <f t="shared" si="11"/>
        <v>0</v>
      </c>
      <c r="G99" s="25">
        <f t="shared" si="13"/>
        <v>165438</v>
      </c>
      <c r="H99" s="12">
        <v>0</v>
      </c>
      <c r="I99" s="27">
        <v>0</v>
      </c>
      <c r="J99" s="23"/>
    </row>
    <row r="100" spans="2:10" hidden="1" x14ac:dyDescent="0.35">
      <c r="B100" s="11">
        <v>21</v>
      </c>
      <c r="C100" s="17" t="s">
        <v>38</v>
      </c>
      <c r="D100" s="25"/>
      <c r="E100" s="25"/>
      <c r="F100" s="26">
        <f t="shared" si="11"/>
        <v>0</v>
      </c>
      <c r="G100" s="25">
        <f t="shared" si="13"/>
        <v>165438</v>
      </c>
      <c r="H100" s="12">
        <v>0</v>
      </c>
      <c r="I100" s="27">
        <v>0</v>
      </c>
      <c r="J100" s="23"/>
    </row>
    <row r="101" spans="2:10" hidden="1" x14ac:dyDescent="0.35">
      <c r="B101" s="11">
        <v>22</v>
      </c>
      <c r="C101" s="17" t="s">
        <v>39</v>
      </c>
      <c r="D101" s="25"/>
      <c r="E101" s="25"/>
      <c r="F101" s="26">
        <f t="shared" si="11"/>
        <v>0</v>
      </c>
      <c r="G101" s="25">
        <f t="shared" si="13"/>
        <v>165438</v>
      </c>
      <c r="H101" s="12">
        <v>0</v>
      </c>
      <c r="I101" s="27">
        <v>0</v>
      </c>
      <c r="J101" s="23"/>
    </row>
    <row r="102" spans="2:10" hidden="1" x14ac:dyDescent="0.35">
      <c r="B102" s="11">
        <v>23</v>
      </c>
      <c r="C102" s="17" t="s">
        <v>40</v>
      </c>
      <c r="D102" s="25"/>
      <c r="E102" s="25"/>
      <c r="F102" s="26">
        <f t="shared" si="11"/>
        <v>0</v>
      </c>
      <c r="G102" s="25">
        <f t="shared" si="13"/>
        <v>165438</v>
      </c>
      <c r="H102" s="12">
        <v>0</v>
      </c>
      <c r="I102" s="27">
        <v>0</v>
      </c>
      <c r="J102" s="23"/>
    </row>
    <row r="103" spans="2:10" hidden="1" x14ac:dyDescent="0.35">
      <c r="B103" s="11">
        <v>24</v>
      </c>
      <c r="C103" s="17" t="s">
        <v>41</v>
      </c>
      <c r="D103" s="25"/>
      <c r="E103" s="25"/>
      <c r="F103" s="26">
        <f t="shared" si="11"/>
        <v>0</v>
      </c>
      <c r="G103" s="25">
        <f t="shared" si="13"/>
        <v>165438</v>
      </c>
      <c r="H103" s="12">
        <v>0</v>
      </c>
      <c r="I103" s="27">
        <v>0</v>
      </c>
      <c r="J103" s="23"/>
    </row>
    <row r="104" spans="2:10" hidden="1" x14ac:dyDescent="0.35">
      <c r="B104" s="11">
        <v>25</v>
      </c>
      <c r="C104" s="19" t="s">
        <v>42</v>
      </c>
      <c r="D104" s="25"/>
      <c r="E104" s="25"/>
      <c r="F104" s="26">
        <f t="shared" si="11"/>
        <v>0</v>
      </c>
      <c r="G104" s="25">
        <f t="shared" si="13"/>
        <v>165438</v>
      </c>
      <c r="H104" s="12">
        <v>0</v>
      </c>
      <c r="I104" s="27">
        <v>0</v>
      </c>
      <c r="J104" s="23"/>
    </row>
    <row r="105" spans="2:10" hidden="1" x14ac:dyDescent="0.35">
      <c r="B105" s="29">
        <v>26</v>
      </c>
      <c r="C105" s="30" t="s">
        <v>43</v>
      </c>
      <c r="D105" s="31"/>
      <c r="E105" s="31"/>
      <c r="F105" s="32">
        <f t="shared" si="11"/>
        <v>0</v>
      </c>
      <c r="G105" s="31">
        <f t="shared" si="13"/>
        <v>165438</v>
      </c>
      <c r="H105" s="33">
        <v>0</v>
      </c>
      <c r="I105" s="34">
        <v>0</v>
      </c>
      <c r="J105" s="23"/>
    </row>
    <row r="106" spans="2:10" x14ac:dyDescent="0.35">
      <c r="B106" s="5"/>
      <c r="C106" s="5"/>
      <c r="D106" s="6"/>
      <c r="E106" s="6"/>
      <c r="F106" s="6"/>
      <c r="G106" s="6"/>
      <c r="H106" s="7"/>
      <c r="I106" s="6"/>
      <c r="J106" s="5"/>
    </row>
    <row r="107" spans="2:10" x14ac:dyDescent="0.35">
      <c r="B107" s="8" t="s">
        <v>44</v>
      </c>
      <c r="C107" s="5"/>
      <c r="D107" s="5"/>
      <c r="E107" s="5"/>
      <c r="F107" s="5"/>
      <c r="G107" s="5"/>
      <c r="H107" s="5"/>
      <c r="I107" s="5"/>
      <c r="J107" s="5"/>
    </row>
    <row r="108" spans="2:10" x14ac:dyDescent="0.35">
      <c r="B108" s="9" t="s">
        <v>45</v>
      </c>
      <c r="C108" s="5"/>
      <c r="D108" s="5"/>
      <c r="E108" s="5"/>
      <c r="F108" s="5"/>
      <c r="G108" s="5"/>
      <c r="H108" s="5"/>
      <c r="I108" s="5"/>
      <c r="J108" s="5"/>
    </row>
    <row r="109" spans="2:10" x14ac:dyDescent="0.35">
      <c r="B109" s="9" t="s">
        <v>46</v>
      </c>
      <c r="C109" s="5"/>
      <c r="D109" s="5"/>
      <c r="E109" s="5"/>
      <c r="F109" s="5"/>
      <c r="G109" s="5"/>
      <c r="H109" s="5"/>
      <c r="I109" s="5"/>
      <c r="J109" s="5"/>
    </row>
    <row r="110" spans="2:10" x14ac:dyDescent="0.35">
      <c r="B110" s="9" t="s">
        <v>47</v>
      </c>
      <c r="C110" s="5"/>
      <c r="D110" s="5"/>
      <c r="E110" s="5"/>
      <c r="F110" s="5"/>
      <c r="G110" s="5"/>
      <c r="H110" s="5"/>
      <c r="I110" s="5"/>
      <c r="J110" s="5"/>
    </row>
    <row r="113" spans="2:10" ht="18.5" x14ac:dyDescent="0.45">
      <c r="B113" s="10"/>
      <c r="C113" s="10"/>
      <c r="D113" s="167" t="s">
        <v>52</v>
      </c>
      <c r="E113" s="167"/>
      <c r="F113" s="167"/>
      <c r="G113" s="167"/>
      <c r="H113" s="167"/>
      <c r="I113" s="167"/>
      <c r="J113" s="10"/>
    </row>
    <row r="114" spans="2:10" s="38" customFormat="1" ht="16" x14ac:dyDescent="0.4">
      <c r="B114" s="28"/>
      <c r="C114" s="28"/>
      <c r="D114" s="168" t="s">
        <v>55</v>
      </c>
      <c r="E114" s="168"/>
      <c r="F114" s="168"/>
      <c r="G114" s="168"/>
      <c r="H114" s="168"/>
      <c r="I114" s="168"/>
      <c r="J114" s="28"/>
    </row>
    <row r="115" spans="2:10" ht="15.9" customHeight="1" x14ac:dyDescent="0.4">
      <c r="B115" s="124" t="s">
        <v>6</v>
      </c>
      <c r="C115" s="124"/>
      <c r="D115" s="124"/>
      <c r="E115" s="124"/>
      <c r="F115" s="124"/>
      <c r="G115" s="124"/>
      <c r="H115" s="124"/>
      <c r="I115" s="124"/>
      <c r="J115" s="124"/>
    </row>
    <row r="116" spans="2:10" ht="14.4" customHeight="1" x14ac:dyDescent="0.35">
      <c r="B116" s="15"/>
      <c r="C116" s="16"/>
      <c r="D116" s="148" t="s">
        <v>7</v>
      </c>
      <c r="E116" s="149"/>
      <c r="F116" s="149"/>
      <c r="G116" s="150"/>
      <c r="H116" s="151" t="s">
        <v>8</v>
      </c>
      <c r="I116" s="152"/>
      <c r="J116" s="4"/>
    </row>
    <row r="117" spans="2:10" x14ac:dyDescent="0.35">
      <c r="B117" s="13"/>
      <c r="C117" s="14"/>
      <c r="D117" s="155" t="s">
        <v>10</v>
      </c>
      <c r="E117" s="156"/>
      <c r="F117" s="156"/>
      <c r="G117" s="157"/>
      <c r="H117" s="153"/>
      <c r="I117" s="154"/>
      <c r="J117" s="4"/>
    </row>
    <row r="118" spans="2:10" ht="14.4" customHeight="1" x14ac:dyDescent="0.35">
      <c r="B118" s="128" t="s">
        <v>11</v>
      </c>
      <c r="C118" s="130" t="s">
        <v>12</v>
      </c>
      <c r="D118" s="20" t="s">
        <v>13</v>
      </c>
      <c r="E118" s="20" t="s">
        <v>14</v>
      </c>
      <c r="F118" s="20" t="s">
        <v>15</v>
      </c>
      <c r="G118" s="20" t="s">
        <v>16</v>
      </c>
      <c r="H118" s="158" t="s">
        <v>17</v>
      </c>
      <c r="I118" s="130" t="s">
        <v>18</v>
      </c>
      <c r="J118" s="21"/>
    </row>
    <row r="119" spans="2:10" ht="35.4" customHeight="1" x14ac:dyDescent="0.35">
      <c r="B119" s="129"/>
      <c r="C119" s="131"/>
      <c r="D119" s="160" t="s">
        <v>21</v>
      </c>
      <c r="E119" s="161"/>
      <c r="F119" s="161"/>
      <c r="G119" s="162"/>
      <c r="H119" s="159"/>
      <c r="I119" s="131"/>
      <c r="J119" s="21"/>
    </row>
    <row r="120" spans="2:10" x14ac:dyDescent="0.35">
      <c r="B120" s="43">
        <v>4</v>
      </c>
      <c r="C120" s="41" t="s">
        <v>22</v>
      </c>
      <c r="D120" s="22">
        <v>537.5</v>
      </c>
      <c r="E120" s="22">
        <v>0</v>
      </c>
      <c r="F120" s="61">
        <f>+D120+E120</f>
        <v>537.5</v>
      </c>
      <c r="G120" s="22">
        <f>+F120</f>
        <v>537.5</v>
      </c>
      <c r="H120" s="62" t="e">
        <f t="shared" ref="H120:H125" si="14">((G120-I120)/I120)*100</f>
        <v>#DIV/0!</v>
      </c>
      <c r="I120" s="22">
        <v>0</v>
      </c>
      <c r="J120" s="23"/>
    </row>
    <row r="121" spans="2:10" x14ac:dyDescent="0.35">
      <c r="B121" s="43">
        <v>5</v>
      </c>
      <c r="C121" s="41" t="s">
        <v>23</v>
      </c>
      <c r="D121" s="27">
        <v>472.5</v>
      </c>
      <c r="E121" s="27">
        <v>0</v>
      </c>
      <c r="F121" s="65">
        <f>+E121+D121</f>
        <v>472.5</v>
      </c>
      <c r="G121" s="27">
        <f>+G120+F121</f>
        <v>1010</v>
      </c>
      <c r="H121" s="66">
        <f t="shared" si="14"/>
        <v>-19.39345570630487</v>
      </c>
      <c r="I121" s="27">
        <v>1253</v>
      </c>
      <c r="J121" s="23"/>
    </row>
    <row r="122" spans="2:10" x14ac:dyDescent="0.35">
      <c r="B122" s="43">
        <v>6</v>
      </c>
      <c r="C122" s="41" t="s">
        <v>24</v>
      </c>
      <c r="D122" s="27">
        <v>0</v>
      </c>
      <c r="E122" s="27">
        <v>0</v>
      </c>
      <c r="F122" s="65">
        <f>+E122+D122</f>
        <v>0</v>
      </c>
      <c r="G122" s="27">
        <f t="shared" ref="G122" si="15">+G121+F122</f>
        <v>1010</v>
      </c>
      <c r="H122" s="66">
        <f t="shared" si="14"/>
        <v>-62.306400447844744</v>
      </c>
      <c r="I122" s="27">
        <f>+I121+1426.5</f>
        <v>2679.5</v>
      </c>
      <c r="J122" s="23"/>
    </row>
    <row r="123" spans="2:10" x14ac:dyDescent="0.35">
      <c r="B123" s="43">
        <v>7</v>
      </c>
      <c r="C123" s="41" t="s">
        <v>25</v>
      </c>
      <c r="D123" s="27">
        <v>0</v>
      </c>
      <c r="E123" s="27">
        <v>0</v>
      </c>
      <c r="F123" s="65">
        <f t="shared" ref="F123:F142" si="16">+E123+D123</f>
        <v>0</v>
      </c>
      <c r="G123" s="27">
        <f>+G122+F123</f>
        <v>1010</v>
      </c>
      <c r="H123" s="66">
        <f t="shared" si="14"/>
        <v>-62.306400447844744</v>
      </c>
      <c r="I123" s="27">
        <f>+I122+0</f>
        <v>2679.5</v>
      </c>
      <c r="J123" s="23"/>
    </row>
    <row r="124" spans="2:10" x14ac:dyDescent="0.35">
      <c r="B124" s="43">
        <v>8</v>
      </c>
      <c r="C124" s="41" t="s">
        <v>26</v>
      </c>
      <c r="D124" s="27">
        <v>0</v>
      </c>
      <c r="E124" s="27">
        <v>0</v>
      </c>
      <c r="F124" s="65">
        <f t="shared" si="16"/>
        <v>0</v>
      </c>
      <c r="G124" s="27">
        <f t="shared" ref="G124:G125" si="17">+G123+F124</f>
        <v>1010</v>
      </c>
      <c r="H124" s="66">
        <f t="shared" si="14"/>
        <v>-62.306400447844744</v>
      </c>
      <c r="I124" s="27">
        <v>2679.5</v>
      </c>
      <c r="J124" s="23"/>
    </row>
    <row r="125" spans="2:10" x14ac:dyDescent="0.35">
      <c r="B125" s="43">
        <v>9</v>
      </c>
      <c r="C125" s="41" t="s">
        <v>27</v>
      </c>
      <c r="D125" s="27">
        <v>1387.5</v>
      </c>
      <c r="E125" s="27">
        <v>0</v>
      </c>
      <c r="F125" s="65">
        <f t="shared" si="16"/>
        <v>1387.5</v>
      </c>
      <c r="G125" s="70">
        <f t="shared" si="17"/>
        <v>2397.5</v>
      </c>
      <c r="H125" s="66">
        <f t="shared" si="14"/>
        <v>-40.174672489082965</v>
      </c>
      <c r="I125" s="27">
        <f>+I124+1328</f>
        <v>4007.5</v>
      </c>
      <c r="J125" s="23"/>
    </row>
    <row r="126" spans="2:10" hidden="1" x14ac:dyDescent="0.35">
      <c r="B126" s="11">
        <v>10</v>
      </c>
      <c r="C126" s="17" t="s">
        <v>50</v>
      </c>
      <c r="D126" s="25"/>
      <c r="E126" s="25"/>
      <c r="F126" s="26">
        <f t="shared" si="16"/>
        <v>0</v>
      </c>
      <c r="G126" s="25">
        <f t="shared" ref="G126:G142" si="18">+G125+F126</f>
        <v>2397.5</v>
      </c>
      <c r="H126" s="12">
        <v>0</v>
      </c>
      <c r="I126" s="27">
        <v>0</v>
      </c>
      <c r="J126" s="23"/>
    </row>
    <row r="127" spans="2:10" hidden="1" x14ac:dyDescent="0.35">
      <c r="B127" s="11">
        <v>11</v>
      </c>
      <c r="C127" s="17" t="s">
        <v>28</v>
      </c>
      <c r="D127" s="25"/>
      <c r="E127" s="25"/>
      <c r="F127" s="26">
        <f t="shared" si="16"/>
        <v>0</v>
      </c>
      <c r="G127" s="25">
        <f t="shared" si="18"/>
        <v>2397.5</v>
      </c>
      <c r="H127" s="12">
        <v>0</v>
      </c>
      <c r="I127" s="27">
        <v>0</v>
      </c>
      <c r="J127" s="23"/>
    </row>
    <row r="128" spans="2:10" hidden="1" x14ac:dyDescent="0.35">
      <c r="B128" s="11">
        <v>12</v>
      </c>
      <c r="C128" s="17" t="s">
        <v>29</v>
      </c>
      <c r="D128" s="25"/>
      <c r="E128" s="25"/>
      <c r="F128" s="26">
        <f t="shared" si="16"/>
        <v>0</v>
      </c>
      <c r="G128" s="25">
        <f t="shared" si="18"/>
        <v>2397.5</v>
      </c>
      <c r="H128" s="12">
        <v>0</v>
      </c>
      <c r="I128" s="27">
        <v>0</v>
      </c>
      <c r="J128" s="23"/>
    </row>
    <row r="129" spans="2:10" hidden="1" x14ac:dyDescent="0.35">
      <c r="B129" s="11">
        <v>13</v>
      </c>
      <c r="C129" s="17" t="s">
        <v>30</v>
      </c>
      <c r="D129" s="25"/>
      <c r="E129" s="25"/>
      <c r="F129" s="26">
        <f t="shared" si="16"/>
        <v>0</v>
      </c>
      <c r="G129" s="25">
        <f t="shared" si="18"/>
        <v>2397.5</v>
      </c>
      <c r="H129" s="12">
        <v>0</v>
      </c>
      <c r="I129" s="27">
        <v>0</v>
      </c>
      <c r="J129" s="23"/>
    </row>
    <row r="130" spans="2:10" hidden="1" x14ac:dyDescent="0.35">
      <c r="B130" s="11">
        <v>14</v>
      </c>
      <c r="C130" s="18" t="s">
        <v>31</v>
      </c>
      <c r="D130" s="25"/>
      <c r="E130" s="25"/>
      <c r="F130" s="26">
        <f t="shared" si="16"/>
        <v>0</v>
      </c>
      <c r="G130" s="25">
        <f t="shared" si="18"/>
        <v>2397.5</v>
      </c>
      <c r="H130" s="12">
        <v>0</v>
      </c>
      <c r="I130" s="27">
        <v>0</v>
      </c>
      <c r="J130" s="23"/>
    </row>
    <row r="131" spans="2:10" hidden="1" x14ac:dyDescent="0.35">
      <c r="B131" s="11">
        <v>15</v>
      </c>
      <c r="C131" s="17" t="s">
        <v>32</v>
      </c>
      <c r="D131" s="25"/>
      <c r="E131" s="25"/>
      <c r="F131" s="26">
        <f t="shared" si="16"/>
        <v>0</v>
      </c>
      <c r="G131" s="25">
        <f t="shared" si="18"/>
        <v>2397.5</v>
      </c>
      <c r="H131" s="12">
        <v>0</v>
      </c>
      <c r="I131" s="27">
        <v>0</v>
      </c>
      <c r="J131" s="23"/>
    </row>
    <row r="132" spans="2:10" hidden="1" x14ac:dyDescent="0.35">
      <c r="B132" s="11">
        <v>16</v>
      </c>
      <c r="C132" s="17" t="s">
        <v>33</v>
      </c>
      <c r="D132" s="25"/>
      <c r="E132" s="25"/>
      <c r="F132" s="26">
        <f t="shared" si="16"/>
        <v>0</v>
      </c>
      <c r="G132" s="25">
        <f t="shared" si="18"/>
        <v>2397.5</v>
      </c>
      <c r="H132" s="12">
        <v>0</v>
      </c>
      <c r="I132" s="27">
        <v>0</v>
      </c>
      <c r="J132" s="23"/>
    </row>
    <row r="133" spans="2:10" hidden="1" x14ac:dyDescent="0.35">
      <c r="B133" s="11">
        <v>17</v>
      </c>
      <c r="C133" s="17" t="s">
        <v>34</v>
      </c>
      <c r="D133" s="25"/>
      <c r="E133" s="25"/>
      <c r="F133" s="26">
        <f t="shared" si="16"/>
        <v>0</v>
      </c>
      <c r="G133" s="25">
        <f t="shared" si="18"/>
        <v>2397.5</v>
      </c>
      <c r="H133" s="12">
        <v>0</v>
      </c>
      <c r="I133" s="27">
        <v>0</v>
      </c>
      <c r="J133" s="23"/>
    </row>
    <row r="134" spans="2:10" hidden="1" x14ac:dyDescent="0.35">
      <c r="B134" s="11">
        <v>18</v>
      </c>
      <c r="C134" s="17" t="s">
        <v>35</v>
      </c>
      <c r="D134" s="25"/>
      <c r="E134" s="25"/>
      <c r="F134" s="26">
        <f t="shared" si="16"/>
        <v>0</v>
      </c>
      <c r="G134" s="25">
        <f t="shared" si="18"/>
        <v>2397.5</v>
      </c>
      <c r="H134" s="12">
        <v>0</v>
      </c>
      <c r="I134" s="27">
        <v>0</v>
      </c>
      <c r="J134" s="23"/>
    </row>
    <row r="135" spans="2:10" hidden="1" x14ac:dyDescent="0.35">
      <c r="B135" s="11">
        <v>19</v>
      </c>
      <c r="C135" s="17" t="s">
        <v>36</v>
      </c>
      <c r="D135" s="25"/>
      <c r="E135" s="25"/>
      <c r="F135" s="26">
        <f t="shared" si="16"/>
        <v>0</v>
      </c>
      <c r="G135" s="25">
        <f t="shared" si="18"/>
        <v>2397.5</v>
      </c>
      <c r="H135" s="12">
        <v>0</v>
      </c>
      <c r="I135" s="27">
        <v>0</v>
      </c>
      <c r="J135" s="23"/>
    </row>
    <row r="136" spans="2:10" hidden="1" x14ac:dyDescent="0.35">
      <c r="B136" s="11">
        <v>20</v>
      </c>
      <c r="C136" s="17" t="s">
        <v>37</v>
      </c>
      <c r="D136" s="25"/>
      <c r="E136" s="25"/>
      <c r="F136" s="26">
        <f t="shared" si="16"/>
        <v>0</v>
      </c>
      <c r="G136" s="25">
        <f t="shared" si="18"/>
        <v>2397.5</v>
      </c>
      <c r="H136" s="12">
        <v>0</v>
      </c>
      <c r="I136" s="27">
        <v>0</v>
      </c>
      <c r="J136" s="23"/>
    </row>
    <row r="137" spans="2:10" hidden="1" x14ac:dyDescent="0.35">
      <c r="B137" s="11">
        <v>21</v>
      </c>
      <c r="C137" s="17" t="s">
        <v>38</v>
      </c>
      <c r="D137" s="25"/>
      <c r="E137" s="25"/>
      <c r="F137" s="26">
        <f t="shared" si="16"/>
        <v>0</v>
      </c>
      <c r="G137" s="25">
        <f t="shared" si="18"/>
        <v>2397.5</v>
      </c>
      <c r="H137" s="12">
        <v>0</v>
      </c>
      <c r="I137" s="27">
        <v>0</v>
      </c>
      <c r="J137" s="23"/>
    </row>
    <row r="138" spans="2:10" hidden="1" x14ac:dyDescent="0.35">
      <c r="B138" s="11">
        <v>22</v>
      </c>
      <c r="C138" s="17" t="s">
        <v>39</v>
      </c>
      <c r="D138" s="25"/>
      <c r="E138" s="25"/>
      <c r="F138" s="26">
        <f t="shared" si="16"/>
        <v>0</v>
      </c>
      <c r="G138" s="25">
        <f t="shared" si="18"/>
        <v>2397.5</v>
      </c>
      <c r="H138" s="12">
        <v>0</v>
      </c>
      <c r="I138" s="27">
        <v>0</v>
      </c>
      <c r="J138" s="23"/>
    </row>
    <row r="139" spans="2:10" hidden="1" x14ac:dyDescent="0.35">
      <c r="B139" s="11">
        <v>23</v>
      </c>
      <c r="C139" s="17" t="s">
        <v>40</v>
      </c>
      <c r="D139" s="25"/>
      <c r="E139" s="25"/>
      <c r="F139" s="26">
        <f t="shared" si="16"/>
        <v>0</v>
      </c>
      <c r="G139" s="25">
        <f t="shared" si="18"/>
        <v>2397.5</v>
      </c>
      <c r="H139" s="12">
        <v>0</v>
      </c>
      <c r="I139" s="27">
        <v>0</v>
      </c>
      <c r="J139" s="23"/>
    </row>
    <row r="140" spans="2:10" hidden="1" x14ac:dyDescent="0.35">
      <c r="B140" s="11">
        <v>24</v>
      </c>
      <c r="C140" s="17" t="s">
        <v>41</v>
      </c>
      <c r="D140" s="25"/>
      <c r="E140" s="25"/>
      <c r="F140" s="26">
        <f t="shared" si="16"/>
        <v>0</v>
      </c>
      <c r="G140" s="25">
        <f t="shared" si="18"/>
        <v>2397.5</v>
      </c>
      <c r="H140" s="12">
        <v>0</v>
      </c>
      <c r="I140" s="27">
        <v>0</v>
      </c>
      <c r="J140" s="23"/>
    </row>
    <row r="141" spans="2:10" hidden="1" x14ac:dyDescent="0.35">
      <c r="B141" s="11">
        <v>25</v>
      </c>
      <c r="C141" s="19" t="s">
        <v>42</v>
      </c>
      <c r="D141" s="25"/>
      <c r="E141" s="25"/>
      <c r="F141" s="26">
        <f t="shared" si="16"/>
        <v>0</v>
      </c>
      <c r="G141" s="25">
        <f t="shared" si="18"/>
        <v>2397.5</v>
      </c>
      <c r="H141" s="12">
        <v>0</v>
      </c>
      <c r="I141" s="27">
        <v>0</v>
      </c>
      <c r="J141" s="23"/>
    </row>
    <row r="142" spans="2:10" hidden="1" x14ac:dyDescent="0.35">
      <c r="B142" s="29">
        <v>26</v>
      </c>
      <c r="C142" s="30" t="s">
        <v>43</v>
      </c>
      <c r="D142" s="31"/>
      <c r="E142" s="31"/>
      <c r="F142" s="32">
        <f t="shared" si="16"/>
        <v>0</v>
      </c>
      <c r="G142" s="31">
        <f t="shared" si="18"/>
        <v>2397.5</v>
      </c>
      <c r="H142" s="33">
        <v>0</v>
      </c>
      <c r="I142" s="34">
        <v>0</v>
      </c>
      <c r="J142" s="23"/>
    </row>
    <row r="143" spans="2:10" x14ac:dyDescent="0.35">
      <c r="B143" s="5"/>
      <c r="C143" s="5"/>
      <c r="D143" s="6"/>
      <c r="E143" s="6"/>
      <c r="F143" s="6"/>
      <c r="G143" s="6"/>
      <c r="H143" s="7"/>
      <c r="I143" s="6"/>
      <c r="J143" s="5"/>
    </row>
    <row r="144" spans="2:10" x14ac:dyDescent="0.35">
      <c r="B144" s="8" t="s">
        <v>44</v>
      </c>
      <c r="C144" s="5"/>
      <c r="D144" s="5"/>
      <c r="E144" s="5"/>
      <c r="F144" s="5"/>
      <c r="G144" s="5"/>
      <c r="H144" s="5"/>
      <c r="I144" s="5"/>
      <c r="J144" s="5"/>
    </row>
    <row r="145" spans="2:10" x14ac:dyDescent="0.35">
      <c r="B145" s="9" t="s">
        <v>45</v>
      </c>
      <c r="C145" s="5"/>
      <c r="D145" s="5"/>
      <c r="E145" s="5"/>
      <c r="F145" s="5"/>
      <c r="G145" s="5"/>
      <c r="H145" s="5"/>
      <c r="I145" s="5"/>
      <c r="J145" s="5"/>
    </row>
    <row r="146" spans="2:10" x14ac:dyDescent="0.35">
      <c r="B146" s="9" t="s">
        <v>46</v>
      </c>
      <c r="C146" s="5"/>
      <c r="D146" s="5"/>
      <c r="E146" s="5"/>
      <c r="F146" s="5"/>
      <c r="G146" s="5"/>
      <c r="H146" s="5"/>
      <c r="I146" s="5"/>
      <c r="J146" s="5"/>
    </row>
    <row r="147" spans="2:10" x14ac:dyDescent="0.35">
      <c r="B147" s="9" t="s">
        <v>47</v>
      </c>
      <c r="C147" s="5"/>
      <c r="D147" s="5"/>
      <c r="E147" s="5"/>
      <c r="F147" s="5"/>
      <c r="G147" s="5"/>
      <c r="H147" s="5"/>
      <c r="I147" s="5"/>
      <c r="J147" s="5"/>
    </row>
  </sheetData>
  <mergeCells count="43">
    <mergeCell ref="B118:B119"/>
    <mergeCell ref="C118:C119"/>
    <mergeCell ref="H118:H119"/>
    <mergeCell ref="I118:I119"/>
    <mergeCell ref="D119:G119"/>
    <mergeCell ref="B81:B82"/>
    <mergeCell ref="C81:C82"/>
    <mergeCell ref="H81:H82"/>
    <mergeCell ref="I81:I82"/>
    <mergeCell ref="D82:G82"/>
    <mergeCell ref="B44:B45"/>
    <mergeCell ref="C44:C45"/>
    <mergeCell ref="H44:H45"/>
    <mergeCell ref="I44:I45"/>
    <mergeCell ref="D45:G45"/>
    <mergeCell ref="H116:I117"/>
    <mergeCell ref="D117:G117"/>
    <mergeCell ref="D113:I113"/>
    <mergeCell ref="D116:G116"/>
    <mergeCell ref="D114:I114"/>
    <mergeCell ref="B115:J115"/>
    <mergeCell ref="H79:I80"/>
    <mergeCell ref="D80:G80"/>
    <mergeCell ref="D76:I76"/>
    <mergeCell ref="D79:G79"/>
    <mergeCell ref="D77:I77"/>
    <mergeCell ref="B78:J78"/>
    <mergeCell ref="H42:I43"/>
    <mergeCell ref="D43:G43"/>
    <mergeCell ref="D39:I39"/>
    <mergeCell ref="D42:G42"/>
    <mergeCell ref="D40:I40"/>
    <mergeCell ref="B41:J41"/>
    <mergeCell ref="B7:B8"/>
    <mergeCell ref="C7:C8"/>
    <mergeCell ref="H7:H8"/>
    <mergeCell ref="I7:I8"/>
    <mergeCell ref="D8:G8"/>
    <mergeCell ref="D3:I3"/>
    <mergeCell ref="B4:J4"/>
    <mergeCell ref="D5:G5"/>
    <mergeCell ref="H5:I6"/>
    <mergeCell ref="D6:G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C5A8F-C700-4DEF-8FA4-C32871188E68}">
  <dimension ref="B3:L147"/>
  <sheetViews>
    <sheetView topLeftCell="A107" workbookViewId="0">
      <selection activeCell="K76" sqref="K76"/>
    </sheetView>
  </sheetViews>
  <sheetFormatPr defaultColWidth="9" defaultRowHeight="14.5" x14ac:dyDescent="0.35"/>
  <cols>
    <col min="1" max="1" width="2" style="3" customWidth="1"/>
    <col min="2" max="2" width="6.09765625" style="3" customWidth="1"/>
    <col min="3" max="3" width="25.59765625" style="3" customWidth="1"/>
    <col min="4" max="4" width="18.59765625" style="3" customWidth="1"/>
    <col min="5" max="5" width="13" style="3" customWidth="1"/>
    <col min="6" max="6" width="14.8984375" style="3" customWidth="1"/>
    <col min="7" max="7" width="14.59765625" style="3" customWidth="1"/>
    <col min="8" max="9" width="13" style="3" customWidth="1"/>
    <col min="10" max="16384" width="9" style="3"/>
  </cols>
  <sheetData>
    <row r="3" spans="2:12" s="38" customFormat="1" ht="18.5" x14ac:dyDescent="0.45">
      <c r="B3" s="28"/>
      <c r="C3" s="28"/>
      <c r="D3" s="147" t="s">
        <v>56</v>
      </c>
      <c r="E3" s="147"/>
      <c r="F3" s="147"/>
      <c r="G3" s="147"/>
      <c r="H3" s="147"/>
      <c r="I3" s="147"/>
      <c r="J3" s="28"/>
      <c r="K3" s="39"/>
      <c r="L3" s="2"/>
    </row>
    <row r="4" spans="2:12" ht="15.9" customHeight="1" x14ac:dyDescent="0.4">
      <c r="B4" s="124" t="s">
        <v>6</v>
      </c>
      <c r="C4" s="124"/>
      <c r="D4" s="124"/>
      <c r="E4" s="124"/>
      <c r="F4" s="124"/>
      <c r="G4" s="124"/>
      <c r="H4" s="124"/>
      <c r="I4" s="124"/>
      <c r="J4" s="124"/>
      <c r="K4" s="1"/>
      <c r="L4" s="2"/>
    </row>
    <row r="5" spans="2:12" ht="14.4" customHeight="1" x14ac:dyDescent="0.35">
      <c r="B5" s="15"/>
      <c r="C5" s="16"/>
      <c r="D5" s="148" t="s">
        <v>7</v>
      </c>
      <c r="E5" s="149"/>
      <c r="F5" s="149"/>
      <c r="G5" s="150"/>
      <c r="H5" s="151" t="s">
        <v>8</v>
      </c>
      <c r="I5" s="152"/>
      <c r="J5" s="4"/>
      <c r="K5" s="1"/>
      <c r="L5" s="2"/>
    </row>
    <row r="6" spans="2:12" x14ac:dyDescent="0.35">
      <c r="B6" s="13"/>
      <c r="C6" s="14"/>
      <c r="D6" s="155" t="s">
        <v>10</v>
      </c>
      <c r="E6" s="156"/>
      <c r="F6" s="156"/>
      <c r="G6" s="157"/>
      <c r="H6" s="153"/>
      <c r="I6" s="154"/>
      <c r="J6" s="4"/>
      <c r="K6" s="1"/>
      <c r="L6" s="2"/>
    </row>
    <row r="7" spans="2:12" ht="18.899999999999999" customHeight="1" x14ac:dyDescent="0.35">
      <c r="B7" s="128" t="s">
        <v>11</v>
      </c>
      <c r="C7" s="130" t="s">
        <v>12</v>
      </c>
      <c r="D7" s="20" t="s">
        <v>13</v>
      </c>
      <c r="E7" s="20" t="s">
        <v>14</v>
      </c>
      <c r="F7" s="20" t="s">
        <v>15</v>
      </c>
      <c r="G7" s="20" t="s">
        <v>16</v>
      </c>
      <c r="H7" s="158" t="s">
        <v>17</v>
      </c>
      <c r="I7" s="130" t="s">
        <v>18</v>
      </c>
      <c r="J7" s="21"/>
      <c r="K7" s="1"/>
      <c r="L7" s="2"/>
    </row>
    <row r="8" spans="2:12" ht="36.65" customHeight="1" x14ac:dyDescent="0.35">
      <c r="B8" s="129"/>
      <c r="C8" s="131"/>
      <c r="D8" s="160" t="s">
        <v>21</v>
      </c>
      <c r="E8" s="161"/>
      <c r="F8" s="161"/>
      <c r="G8" s="162"/>
      <c r="H8" s="159"/>
      <c r="I8" s="131"/>
      <c r="J8" s="21"/>
      <c r="K8" s="1"/>
    </row>
    <row r="9" spans="2:12" x14ac:dyDescent="0.35">
      <c r="B9" s="43">
        <v>4</v>
      </c>
      <c r="C9" s="41" t="s">
        <v>22</v>
      </c>
      <c r="D9" s="22">
        <v>386194</v>
      </c>
      <c r="E9" s="22">
        <v>0</v>
      </c>
      <c r="F9" s="61">
        <f>+D9+E9</f>
        <v>386194</v>
      </c>
      <c r="G9" s="22">
        <f>+F9</f>
        <v>386194</v>
      </c>
      <c r="H9" s="62">
        <f t="shared" ref="H9:H14" si="0">((G9-I9)/I9)*100</f>
        <v>25.312698491243466</v>
      </c>
      <c r="I9" s="22">
        <v>308184.25</v>
      </c>
      <c r="J9" s="23"/>
      <c r="K9" s="1"/>
    </row>
    <row r="10" spans="2:12" x14ac:dyDescent="0.35">
      <c r="B10" s="43">
        <v>5</v>
      </c>
      <c r="C10" s="41" t="s">
        <v>23</v>
      </c>
      <c r="D10" s="27">
        <v>472540.01</v>
      </c>
      <c r="E10" s="27">
        <v>0</v>
      </c>
      <c r="F10" s="65">
        <f>+E10+D10</f>
        <v>472540.01</v>
      </c>
      <c r="G10" s="27">
        <f>+G9+F10</f>
        <v>858734.01</v>
      </c>
      <c r="H10" s="66">
        <f t="shared" si="0"/>
        <v>-2.2520566578687125</v>
      </c>
      <c r="I10" s="27">
        <f>+I9+570334.5</f>
        <v>878518.75</v>
      </c>
      <c r="J10" s="23"/>
      <c r="K10" s="1"/>
    </row>
    <row r="11" spans="2:12" x14ac:dyDescent="0.35">
      <c r="B11" s="43">
        <v>6</v>
      </c>
      <c r="C11" s="41" t="s">
        <v>24</v>
      </c>
      <c r="D11" s="27">
        <v>518051.5</v>
      </c>
      <c r="E11" s="27">
        <v>0</v>
      </c>
      <c r="F11" s="65">
        <f>+E11+D11</f>
        <v>518051.5</v>
      </c>
      <c r="G11" s="27">
        <f t="shared" ref="G11:G31" si="1">+G10+F11</f>
        <v>1376785.51</v>
      </c>
      <c r="H11" s="66">
        <f t="shared" si="0"/>
        <v>12.154008005117301</v>
      </c>
      <c r="I11" s="27">
        <f>+I10+349066.01</f>
        <v>1227584.76</v>
      </c>
      <c r="J11" s="23"/>
      <c r="K11" s="1"/>
    </row>
    <row r="12" spans="2:12" x14ac:dyDescent="0.35">
      <c r="B12" s="43">
        <v>7</v>
      </c>
      <c r="C12" s="41" t="s">
        <v>25</v>
      </c>
      <c r="D12" s="27">
        <v>506029.52</v>
      </c>
      <c r="E12" s="27">
        <v>225496</v>
      </c>
      <c r="F12" s="65">
        <f t="shared" ref="F12:F31" si="2">+E12+D12</f>
        <v>731525.52</v>
      </c>
      <c r="G12" s="27">
        <f>+G11+F12</f>
        <v>2108311.0300000003</v>
      </c>
      <c r="H12" s="66">
        <f t="shared" si="0"/>
        <v>20.059303621414525</v>
      </c>
      <c r="I12" s="27">
        <f>+I11+528473.26</f>
        <v>1756058.02</v>
      </c>
      <c r="J12" s="23"/>
      <c r="K12" s="1"/>
    </row>
    <row r="13" spans="2:12" x14ac:dyDescent="0.35">
      <c r="B13" s="43">
        <v>8</v>
      </c>
      <c r="C13" s="41" t="s">
        <v>26</v>
      </c>
      <c r="D13" s="27">
        <v>327481.5</v>
      </c>
      <c r="E13" s="27">
        <v>0</v>
      </c>
      <c r="F13" s="65">
        <f t="shared" si="2"/>
        <v>327481.5</v>
      </c>
      <c r="G13" s="27">
        <f t="shared" ref="G13:G14" si="3">+G12+F13</f>
        <v>2435792.5300000003</v>
      </c>
      <c r="H13" s="66">
        <f t="shared" si="0"/>
        <v>18.488650014363365</v>
      </c>
      <c r="I13" s="27">
        <v>2055718.02</v>
      </c>
      <c r="J13" s="23"/>
      <c r="K13" s="1"/>
    </row>
    <row r="14" spans="2:12" x14ac:dyDescent="0.35">
      <c r="B14" s="43">
        <v>9</v>
      </c>
      <c r="C14" s="41" t="s">
        <v>27</v>
      </c>
      <c r="D14" s="27">
        <v>157341</v>
      </c>
      <c r="E14" s="27">
        <v>0</v>
      </c>
      <c r="F14" s="65">
        <f t="shared" si="2"/>
        <v>157341</v>
      </c>
      <c r="G14" s="67">
        <f t="shared" si="3"/>
        <v>2593133.5300000003</v>
      </c>
      <c r="H14" s="66">
        <f t="shared" si="0"/>
        <v>11.967401832043846</v>
      </c>
      <c r="I14" s="27">
        <f>+I13+260253.85</f>
        <v>2315971.87</v>
      </c>
      <c r="J14" s="23"/>
      <c r="K14" s="1"/>
    </row>
    <row r="15" spans="2:12" hidden="1" x14ac:dyDescent="0.35">
      <c r="B15" s="11">
        <v>10</v>
      </c>
      <c r="C15" s="17" t="s">
        <v>50</v>
      </c>
      <c r="D15" s="25"/>
      <c r="E15" s="25"/>
      <c r="F15" s="26">
        <f t="shared" si="2"/>
        <v>0</v>
      </c>
      <c r="G15" s="25">
        <f t="shared" si="1"/>
        <v>2593133.5300000003</v>
      </c>
      <c r="H15" s="12">
        <v>0</v>
      </c>
      <c r="I15" s="27">
        <v>0</v>
      </c>
      <c r="J15" s="23"/>
      <c r="K15" s="1"/>
    </row>
    <row r="16" spans="2:12" hidden="1" x14ac:dyDescent="0.35">
      <c r="B16" s="11">
        <v>11</v>
      </c>
      <c r="C16" s="17" t="s">
        <v>28</v>
      </c>
      <c r="D16" s="25"/>
      <c r="E16" s="25"/>
      <c r="F16" s="26">
        <f t="shared" si="2"/>
        <v>0</v>
      </c>
      <c r="G16" s="25">
        <f t="shared" si="1"/>
        <v>2593133.5300000003</v>
      </c>
      <c r="H16" s="12">
        <v>0</v>
      </c>
      <c r="I16" s="27">
        <v>0</v>
      </c>
      <c r="J16" s="23"/>
      <c r="K16" s="1"/>
    </row>
    <row r="17" spans="2:11" hidden="1" x14ac:dyDescent="0.35">
      <c r="B17" s="11">
        <v>12</v>
      </c>
      <c r="C17" s="17" t="s">
        <v>29</v>
      </c>
      <c r="D17" s="25"/>
      <c r="E17" s="25"/>
      <c r="F17" s="26">
        <f t="shared" si="2"/>
        <v>0</v>
      </c>
      <c r="G17" s="25">
        <f t="shared" si="1"/>
        <v>2593133.5300000003</v>
      </c>
      <c r="H17" s="12">
        <v>0</v>
      </c>
      <c r="I17" s="27">
        <v>0</v>
      </c>
      <c r="J17" s="23"/>
      <c r="K17" s="1"/>
    </row>
    <row r="18" spans="2:11" hidden="1" x14ac:dyDescent="0.35">
      <c r="B18" s="11">
        <v>13</v>
      </c>
      <c r="C18" s="17" t="s">
        <v>30</v>
      </c>
      <c r="D18" s="25"/>
      <c r="E18" s="25"/>
      <c r="F18" s="26">
        <f t="shared" si="2"/>
        <v>0</v>
      </c>
      <c r="G18" s="25">
        <f t="shared" si="1"/>
        <v>2593133.5300000003</v>
      </c>
      <c r="H18" s="12">
        <v>0</v>
      </c>
      <c r="I18" s="27">
        <v>0</v>
      </c>
      <c r="J18" s="23"/>
      <c r="K18" s="1"/>
    </row>
    <row r="19" spans="2:11" hidden="1" x14ac:dyDescent="0.35">
      <c r="B19" s="11">
        <v>14</v>
      </c>
      <c r="C19" s="18" t="s">
        <v>31</v>
      </c>
      <c r="D19" s="25"/>
      <c r="E19" s="25"/>
      <c r="F19" s="26">
        <f t="shared" si="2"/>
        <v>0</v>
      </c>
      <c r="G19" s="25">
        <f t="shared" si="1"/>
        <v>2593133.5300000003</v>
      </c>
      <c r="H19" s="12">
        <v>0</v>
      </c>
      <c r="I19" s="27">
        <v>0</v>
      </c>
      <c r="J19" s="23"/>
      <c r="K19" s="1"/>
    </row>
    <row r="20" spans="2:11" hidden="1" x14ac:dyDescent="0.35">
      <c r="B20" s="11">
        <v>15</v>
      </c>
      <c r="C20" s="17" t="s">
        <v>32</v>
      </c>
      <c r="D20" s="25"/>
      <c r="E20" s="25"/>
      <c r="F20" s="26">
        <f t="shared" si="2"/>
        <v>0</v>
      </c>
      <c r="G20" s="25">
        <f t="shared" si="1"/>
        <v>2593133.5300000003</v>
      </c>
      <c r="H20" s="12">
        <v>0</v>
      </c>
      <c r="I20" s="27">
        <v>0</v>
      </c>
      <c r="J20" s="23"/>
      <c r="K20" s="1"/>
    </row>
    <row r="21" spans="2:11" hidden="1" x14ac:dyDescent="0.35">
      <c r="B21" s="11">
        <v>16</v>
      </c>
      <c r="C21" s="17" t="s">
        <v>33</v>
      </c>
      <c r="D21" s="25"/>
      <c r="E21" s="25"/>
      <c r="F21" s="26">
        <f t="shared" si="2"/>
        <v>0</v>
      </c>
      <c r="G21" s="25">
        <f t="shared" si="1"/>
        <v>2593133.5300000003</v>
      </c>
      <c r="H21" s="12">
        <v>0</v>
      </c>
      <c r="I21" s="27">
        <v>0</v>
      </c>
      <c r="J21" s="23"/>
      <c r="K21" s="1"/>
    </row>
    <row r="22" spans="2:11" hidden="1" x14ac:dyDescent="0.35">
      <c r="B22" s="11">
        <v>17</v>
      </c>
      <c r="C22" s="17" t="s">
        <v>34</v>
      </c>
      <c r="D22" s="25"/>
      <c r="E22" s="25"/>
      <c r="F22" s="26">
        <f t="shared" si="2"/>
        <v>0</v>
      </c>
      <c r="G22" s="25">
        <f t="shared" si="1"/>
        <v>2593133.5300000003</v>
      </c>
      <c r="H22" s="12">
        <v>0</v>
      </c>
      <c r="I22" s="27">
        <v>0</v>
      </c>
      <c r="J22" s="23"/>
      <c r="K22" s="1"/>
    </row>
    <row r="23" spans="2:11" hidden="1" x14ac:dyDescent="0.35">
      <c r="B23" s="11">
        <v>18</v>
      </c>
      <c r="C23" s="17" t="s">
        <v>35</v>
      </c>
      <c r="D23" s="25"/>
      <c r="E23" s="25"/>
      <c r="F23" s="26">
        <f t="shared" si="2"/>
        <v>0</v>
      </c>
      <c r="G23" s="25">
        <f t="shared" si="1"/>
        <v>2593133.5300000003</v>
      </c>
      <c r="H23" s="12">
        <v>0</v>
      </c>
      <c r="I23" s="27">
        <v>0</v>
      </c>
      <c r="J23" s="23"/>
      <c r="K23" s="1"/>
    </row>
    <row r="24" spans="2:11" hidden="1" x14ac:dyDescent="0.35">
      <c r="B24" s="11">
        <v>19</v>
      </c>
      <c r="C24" s="17" t="s">
        <v>36</v>
      </c>
      <c r="D24" s="25"/>
      <c r="E24" s="25"/>
      <c r="F24" s="26">
        <f t="shared" si="2"/>
        <v>0</v>
      </c>
      <c r="G24" s="25">
        <f t="shared" si="1"/>
        <v>2593133.5300000003</v>
      </c>
      <c r="H24" s="12">
        <v>0</v>
      </c>
      <c r="I24" s="27">
        <v>0</v>
      </c>
      <c r="J24" s="23"/>
      <c r="K24" s="1"/>
    </row>
    <row r="25" spans="2:11" hidden="1" x14ac:dyDescent="0.35">
      <c r="B25" s="11">
        <v>20</v>
      </c>
      <c r="C25" s="17" t="s">
        <v>37</v>
      </c>
      <c r="D25" s="25"/>
      <c r="E25" s="25"/>
      <c r="F25" s="26">
        <f t="shared" si="2"/>
        <v>0</v>
      </c>
      <c r="G25" s="25">
        <f t="shared" si="1"/>
        <v>2593133.5300000003</v>
      </c>
      <c r="H25" s="12">
        <v>0</v>
      </c>
      <c r="I25" s="27">
        <v>0</v>
      </c>
      <c r="J25" s="23"/>
      <c r="K25" s="1"/>
    </row>
    <row r="26" spans="2:11" hidden="1" x14ac:dyDescent="0.35">
      <c r="B26" s="11">
        <v>21</v>
      </c>
      <c r="C26" s="17" t="s">
        <v>38</v>
      </c>
      <c r="D26" s="25"/>
      <c r="E26" s="25"/>
      <c r="F26" s="26">
        <f t="shared" si="2"/>
        <v>0</v>
      </c>
      <c r="G26" s="25">
        <f t="shared" si="1"/>
        <v>2593133.5300000003</v>
      </c>
      <c r="H26" s="12">
        <v>0</v>
      </c>
      <c r="I26" s="27">
        <v>0</v>
      </c>
      <c r="J26" s="23"/>
      <c r="K26" s="1"/>
    </row>
    <row r="27" spans="2:11" hidden="1" x14ac:dyDescent="0.35">
      <c r="B27" s="11">
        <v>22</v>
      </c>
      <c r="C27" s="17" t="s">
        <v>39</v>
      </c>
      <c r="D27" s="25"/>
      <c r="E27" s="25"/>
      <c r="F27" s="26">
        <f t="shared" si="2"/>
        <v>0</v>
      </c>
      <c r="G27" s="25">
        <f t="shared" si="1"/>
        <v>2593133.5300000003</v>
      </c>
      <c r="H27" s="12">
        <v>0</v>
      </c>
      <c r="I27" s="27">
        <v>0</v>
      </c>
      <c r="J27" s="23"/>
      <c r="K27" s="1"/>
    </row>
    <row r="28" spans="2:11" hidden="1" x14ac:dyDescent="0.35">
      <c r="B28" s="11">
        <v>23</v>
      </c>
      <c r="C28" s="17" t="s">
        <v>40</v>
      </c>
      <c r="D28" s="25"/>
      <c r="E28" s="25"/>
      <c r="F28" s="26">
        <f t="shared" si="2"/>
        <v>0</v>
      </c>
      <c r="G28" s="25">
        <f t="shared" si="1"/>
        <v>2593133.5300000003</v>
      </c>
      <c r="H28" s="12">
        <v>0</v>
      </c>
      <c r="I28" s="27">
        <v>0</v>
      </c>
      <c r="J28" s="23"/>
      <c r="K28" s="1"/>
    </row>
    <row r="29" spans="2:11" hidden="1" x14ac:dyDescent="0.35">
      <c r="B29" s="11">
        <v>24</v>
      </c>
      <c r="C29" s="17" t="s">
        <v>41</v>
      </c>
      <c r="D29" s="25"/>
      <c r="E29" s="25"/>
      <c r="F29" s="26">
        <f t="shared" si="2"/>
        <v>0</v>
      </c>
      <c r="G29" s="25">
        <f t="shared" si="1"/>
        <v>2593133.5300000003</v>
      </c>
      <c r="H29" s="12">
        <v>0</v>
      </c>
      <c r="I29" s="27">
        <v>0</v>
      </c>
      <c r="J29" s="23"/>
      <c r="K29" s="1"/>
    </row>
    <row r="30" spans="2:11" hidden="1" x14ac:dyDescent="0.35">
      <c r="B30" s="11">
        <v>25</v>
      </c>
      <c r="C30" s="19" t="s">
        <v>42</v>
      </c>
      <c r="D30" s="25"/>
      <c r="E30" s="25"/>
      <c r="F30" s="26">
        <f t="shared" si="2"/>
        <v>0</v>
      </c>
      <c r="G30" s="25">
        <f t="shared" si="1"/>
        <v>2593133.5300000003</v>
      </c>
      <c r="H30" s="12">
        <v>0</v>
      </c>
      <c r="I30" s="27">
        <v>0</v>
      </c>
      <c r="J30" s="23"/>
      <c r="K30" s="1"/>
    </row>
    <row r="31" spans="2:11" hidden="1" x14ac:dyDescent="0.35">
      <c r="B31" s="29">
        <v>26</v>
      </c>
      <c r="C31" s="30" t="s">
        <v>43</v>
      </c>
      <c r="D31" s="31"/>
      <c r="E31" s="31"/>
      <c r="F31" s="32">
        <f t="shared" si="2"/>
        <v>0</v>
      </c>
      <c r="G31" s="31">
        <f t="shared" si="1"/>
        <v>2593133.5300000003</v>
      </c>
      <c r="H31" s="33">
        <v>0</v>
      </c>
      <c r="I31" s="34">
        <v>0</v>
      </c>
      <c r="J31" s="23"/>
      <c r="K31" s="1"/>
    </row>
    <row r="32" spans="2:11" x14ac:dyDescent="0.35">
      <c r="B32" s="5"/>
      <c r="C32" s="5"/>
      <c r="D32" s="6"/>
      <c r="E32" s="6"/>
      <c r="F32" s="6"/>
      <c r="G32" s="6"/>
      <c r="H32" s="7"/>
      <c r="I32" s="6"/>
      <c r="J32" s="5"/>
      <c r="K32" s="1"/>
    </row>
    <row r="33" spans="2:11" x14ac:dyDescent="0.35">
      <c r="B33" s="8" t="s">
        <v>44</v>
      </c>
      <c r="C33" s="5"/>
      <c r="D33" s="5"/>
      <c r="E33" s="5"/>
      <c r="F33" s="5"/>
      <c r="G33" s="5"/>
      <c r="H33" s="5"/>
      <c r="I33" s="5"/>
      <c r="J33" s="5"/>
      <c r="K33" s="1"/>
    </row>
    <row r="34" spans="2:11" x14ac:dyDescent="0.35">
      <c r="B34" s="9" t="s">
        <v>45</v>
      </c>
      <c r="C34" s="5"/>
      <c r="D34" s="5"/>
      <c r="E34" s="5"/>
      <c r="F34" s="5"/>
      <c r="G34" s="5"/>
      <c r="H34" s="5"/>
      <c r="I34" s="5"/>
      <c r="J34" s="5"/>
      <c r="K34" s="1"/>
    </row>
    <row r="35" spans="2:11" x14ac:dyDescent="0.35">
      <c r="B35" s="9" t="s">
        <v>46</v>
      </c>
      <c r="C35" s="5"/>
      <c r="D35" s="5"/>
      <c r="E35" s="5"/>
      <c r="F35" s="5"/>
      <c r="G35" s="5"/>
      <c r="H35" s="5"/>
      <c r="I35" s="5"/>
      <c r="J35" s="5"/>
      <c r="K35" s="1"/>
    </row>
    <row r="36" spans="2:11" x14ac:dyDescent="0.35">
      <c r="B36" s="9" t="s">
        <v>47</v>
      </c>
      <c r="C36" s="5"/>
      <c r="D36" s="5"/>
      <c r="E36" s="5"/>
      <c r="F36" s="5"/>
      <c r="G36" s="5"/>
      <c r="H36" s="5"/>
      <c r="I36" s="5"/>
      <c r="J36" s="5"/>
      <c r="K36" s="1"/>
    </row>
    <row r="37" spans="2:11" x14ac:dyDescent="0.35">
      <c r="B37" s="9"/>
      <c r="C37" s="5"/>
      <c r="D37" s="5"/>
      <c r="E37" s="5"/>
      <c r="F37" s="5"/>
      <c r="G37" s="5"/>
      <c r="H37" s="5"/>
      <c r="I37" s="5"/>
      <c r="J37" s="5"/>
      <c r="K37" s="1"/>
    </row>
    <row r="38" spans="2:11" x14ac:dyDescent="0.35">
      <c r="B38" s="9"/>
      <c r="C38" s="5"/>
      <c r="D38" s="5"/>
      <c r="E38" s="5"/>
      <c r="F38" s="5"/>
      <c r="G38" s="5"/>
      <c r="H38" s="5"/>
      <c r="I38" s="5"/>
      <c r="J38" s="5"/>
      <c r="K38" s="1"/>
    </row>
    <row r="39" spans="2:11" ht="18.5" x14ac:dyDescent="0.45">
      <c r="B39" s="10"/>
      <c r="C39" s="10"/>
      <c r="D39" s="163" t="s">
        <v>48</v>
      </c>
      <c r="E39" s="163"/>
      <c r="F39" s="163"/>
      <c r="G39" s="163"/>
      <c r="H39" s="163"/>
      <c r="I39" s="163"/>
      <c r="J39" s="10"/>
    </row>
    <row r="40" spans="2:11" s="38" customFormat="1" ht="16" x14ac:dyDescent="0.4">
      <c r="B40" s="28"/>
      <c r="C40" s="28"/>
      <c r="D40" s="164" t="s">
        <v>56</v>
      </c>
      <c r="E40" s="164"/>
      <c r="F40" s="164"/>
      <c r="G40" s="164"/>
      <c r="H40" s="164"/>
      <c r="I40" s="164"/>
      <c r="J40" s="28"/>
    </row>
    <row r="41" spans="2:11" ht="15.9" customHeight="1" x14ac:dyDescent="0.4">
      <c r="B41" s="124" t="s">
        <v>6</v>
      </c>
      <c r="C41" s="124"/>
      <c r="D41" s="124"/>
      <c r="E41" s="124"/>
      <c r="F41" s="124"/>
      <c r="G41" s="124"/>
      <c r="H41" s="124"/>
      <c r="I41" s="124"/>
      <c r="J41" s="124"/>
    </row>
    <row r="42" spans="2:11" ht="14.4" customHeight="1" x14ac:dyDescent="0.35">
      <c r="B42" s="15"/>
      <c r="C42" s="16"/>
      <c r="D42" s="148" t="s">
        <v>7</v>
      </c>
      <c r="E42" s="149"/>
      <c r="F42" s="149"/>
      <c r="G42" s="150"/>
      <c r="H42" s="151" t="s">
        <v>8</v>
      </c>
      <c r="I42" s="152"/>
      <c r="J42" s="4"/>
    </row>
    <row r="43" spans="2:11" x14ac:dyDescent="0.35">
      <c r="B43" s="13"/>
      <c r="C43" s="14"/>
      <c r="D43" s="155" t="s">
        <v>10</v>
      </c>
      <c r="E43" s="156"/>
      <c r="F43" s="156"/>
      <c r="G43" s="157"/>
      <c r="H43" s="153"/>
      <c r="I43" s="154"/>
      <c r="J43" s="4"/>
    </row>
    <row r="44" spans="2:11" ht="14.4" customHeight="1" x14ac:dyDescent="0.35">
      <c r="B44" s="128" t="s">
        <v>11</v>
      </c>
      <c r="C44" s="130" t="s">
        <v>12</v>
      </c>
      <c r="D44" s="20" t="s">
        <v>13</v>
      </c>
      <c r="E44" s="20" t="s">
        <v>14</v>
      </c>
      <c r="F44" s="20" t="s">
        <v>15</v>
      </c>
      <c r="G44" s="20" t="s">
        <v>16</v>
      </c>
      <c r="H44" s="158" t="s">
        <v>17</v>
      </c>
      <c r="I44" s="130" t="s">
        <v>18</v>
      </c>
      <c r="J44" s="21"/>
    </row>
    <row r="45" spans="2:11" ht="39" customHeight="1" x14ac:dyDescent="0.35">
      <c r="B45" s="129"/>
      <c r="C45" s="131"/>
      <c r="D45" s="160" t="s">
        <v>21</v>
      </c>
      <c r="E45" s="161"/>
      <c r="F45" s="161"/>
      <c r="G45" s="162"/>
      <c r="H45" s="159"/>
      <c r="I45" s="131"/>
      <c r="J45" s="21"/>
    </row>
    <row r="46" spans="2:11" x14ac:dyDescent="0.35">
      <c r="B46" s="43">
        <v>4</v>
      </c>
      <c r="C46" s="41" t="s">
        <v>22</v>
      </c>
      <c r="D46" s="22">
        <v>375651</v>
      </c>
      <c r="E46" s="22">
        <v>0</v>
      </c>
      <c r="F46" s="61">
        <f>+D46+E46</f>
        <v>375651</v>
      </c>
      <c r="G46" s="22">
        <f>+F46</f>
        <v>375651</v>
      </c>
      <c r="H46" s="62">
        <f t="shared" ref="H46:H51" si="4">((G46-I46)/I46)*100</f>
        <v>21.891693037525442</v>
      </c>
      <c r="I46" s="22">
        <v>308184.25</v>
      </c>
      <c r="J46" s="23"/>
    </row>
    <row r="47" spans="2:11" x14ac:dyDescent="0.35">
      <c r="B47" s="43">
        <v>5</v>
      </c>
      <c r="C47" s="41" t="s">
        <v>23</v>
      </c>
      <c r="D47" s="27">
        <v>461471.51</v>
      </c>
      <c r="E47" s="27">
        <v>0</v>
      </c>
      <c r="F47" s="65">
        <f>+E47+D47</f>
        <v>461471.51</v>
      </c>
      <c r="G47" s="27">
        <f>+G46+F47</f>
        <v>837122.51</v>
      </c>
      <c r="H47" s="66">
        <f t="shared" si="4"/>
        <v>-4.0687727384328527</v>
      </c>
      <c r="I47" s="27">
        <f>+I46+564443.5</f>
        <v>872627.75</v>
      </c>
      <c r="J47" s="23"/>
    </row>
    <row r="48" spans="2:11" x14ac:dyDescent="0.35">
      <c r="B48" s="43">
        <v>6</v>
      </c>
      <c r="C48" s="41" t="s">
        <v>24</v>
      </c>
      <c r="D48" s="27">
        <v>518051.5</v>
      </c>
      <c r="E48" s="27">
        <v>0</v>
      </c>
      <c r="F48" s="65">
        <f>+E48+D48</f>
        <v>518051.5</v>
      </c>
      <c r="G48" s="27">
        <f t="shared" ref="G48" si="5">+G47+F48</f>
        <v>1355174.01</v>
      </c>
      <c r="H48" s="66">
        <f t="shared" si="4"/>
        <v>10.925835456505892</v>
      </c>
      <c r="I48" s="27">
        <f>+I47+349066.01</f>
        <v>1221693.76</v>
      </c>
      <c r="J48" s="23"/>
    </row>
    <row r="49" spans="2:10" x14ac:dyDescent="0.35">
      <c r="B49" s="43">
        <v>7</v>
      </c>
      <c r="C49" s="41" t="s">
        <v>25</v>
      </c>
      <c r="D49" s="27">
        <v>499721.52</v>
      </c>
      <c r="E49" s="27">
        <v>225496</v>
      </c>
      <c r="F49" s="65">
        <f t="shared" ref="F49:F68" si="6">+E49+D49</f>
        <v>725217.52</v>
      </c>
      <c r="G49" s="27">
        <f>+G48+F49</f>
        <v>2080391.53</v>
      </c>
      <c r="H49" s="66">
        <f t="shared" si="4"/>
        <v>18.868171221738596</v>
      </c>
      <c r="I49" s="27">
        <f>+I48+528473.26</f>
        <v>1750167.02</v>
      </c>
      <c r="J49" s="23"/>
    </row>
    <row r="50" spans="2:10" x14ac:dyDescent="0.35">
      <c r="B50" s="43">
        <v>8</v>
      </c>
      <c r="C50" s="41" t="s">
        <v>26</v>
      </c>
      <c r="D50" s="27">
        <v>327481.5</v>
      </c>
      <c r="E50" s="27">
        <v>0</v>
      </c>
      <c r="F50" s="65">
        <f t="shared" si="6"/>
        <v>327481.5</v>
      </c>
      <c r="G50" s="27">
        <f t="shared" ref="G50:G51" si="7">+G49+F50</f>
        <v>2407873.0300000003</v>
      </c>
      <c r="H50" s="66">
        <f t="shared" si="4"/>
        <v>17.467132909585718</v>
      </c>
      <c r="I50" s="27">
        <v>2049827.02</v>
      </c>
      <c r="J50" s="23"/>
    </row>
    <row r="51" spans="2:10" x14ac:dyDescent="0.35">
      <c r="B51" s="43">
        <v>9</v>
      </c>
      <c r="C51" s="41" t="s">
        <v>27</v>
      </c>
      <c r="D51" s="27">
        <v>157341</v>
      </c>
      <c r="E51" s="27">
        <v>0</v>
      </c>
      <c r="F51" s="65">
        <f t="shared" si="6"/>
        <v>157341</v>
      </c>
      <c r="G51" s="68">
        <f t="shared" si="7"/>
        <v>2565214.0300000003</v>
      </c>
      <c r="H51" s="66">
        <f t="shared" si="4"/>
        <v>11.044338893642287</v>
      </c>
      <c r="I51" s="27">
        <f>+I50+260253.85</f>
        <v>2310080.87</v>
      </c>
      <c r="J51" s="23"/>
    </row>
    <row r="52" spans="2:10" hidden="1" x14ac:dyDescent="0.35">
      <c r="B52" s="11">
        <v>10</v>
      </c>
      <c r="C52" s="17" t="s">
        <v>50</v>
      </c>
      <c r="D52" s="25"/>
      <c r="E52" s="25"/>
      <c r="F52" s="26">
        <f t="shared" si="6"/>
        <v>0</v>
      </c>
      <c r="G52" s="25">
        <f t="shared" ref="G52:G68" si="8">+G51+F52</f>
        <v>2565214.0300000003</v>
      </c>
      <c r="H52" s="12">
        <v>0</v>
      </c>
      <c r="I52" s="27">
        <v>0</v>
      </c>
      <c r="J52" s="23"/>
    </row>
    <row r="53" spans="2:10" hidden="1" x14ac:dyDescent="0.35">
      <c r="B53" s="11">
        <v>11</v>
      </c>
      <c r="C53" s="17" t="s">
        <v>28</v>
      </c>
      <c r="D53" s="25"/>
      <c r="E53" s="25"/>
      <c r="F53" s="26">
        <f t="shared" si="6"/>
        <v>0</v>
      </c>
      <c r="G53" s="25">
        <f t="shared" si="8"/>
        <v>2565214.0300000003</v>
      </c>
      <c r="H53" s="12">
        <v>0</v>
      </c>
      <c r="I53" s="27">
        <v>0</v>
      </c>
      <c r="J53" s="23"/>
    </row>
    <row r="54" spans="2:10" hidden="1" x14ac:dyDescent="0.35">
      <c r="B54" s="11">
        <v>12</v>
      </c>
      <c r="C54" s="17" t="s">
        <v>29</v>
      </c>
      <c r="D54" s="25"/>
      <c r="E54" s="25"/>
      <c r="F54" s="26">
        <f t="shared" si="6"/>
        <v>0</v>
      </c>
      <c r="G54" s="25">
        <f t="shared" si="8"/>
        <v>2565214.0300000003</v>
      </c>
      <c r="H54" s="12">
        <v>0</v>
      </c>
      <c r="I54" s="27">
        <v>0</v>
      </c>
      <c r="J54" s="23"/>
    </row>
    <row r="55" spans="2:10" hidden="1" x14ac:dyDescent="0.35">
      <c r="B55" s="11">
        <v>13</v>
      </c>
      <c r="C55" s="17" t="s">
        <v>30</v>
      </c>
      <c r="D55" s="25"/>
      <c r="E55" s="25"/>
      <c r="F55" s="26">
        <f t="shared" si="6"/>
        <v>0</v>
      </c>
      <c r="G55" s="25">
        <f t="shared" si="8"/>
        <v>2565214.0300000003</v>
      </c>
      <c r="H55" s="12">
        <v>0</v>
      </c>
      <c r="I55" s="27">
        <v>0</v>
      </c>
      <c r="J55" s="23"/>
    </row>
    <row r="56" spans="2:10" hidden="1" x14ac:dyDescent="0.35">
      <c r="B56" s="11">
        <v>14</v>
      </c>
      <c r="C56" s="18" t="s">
        <v>31</v>
      </c>
      <c r="D56" s="25"/>
      <c r="E56" s="25"/>
      <c r="F56" s="26">
        <f t="shared" si="6"/>
        <v>0</v>
      </c>
      <c r="G56" s="25">
        <f t="shared" si="8"/>
        <v>2565214.0300000003</v>
      </c>
      <c r="H56" s="12">
        <v>0</v>
      </c>
      <c r="I56" s="27">
        <v>0</v>
      </c>
      <c r="J56" s="23"/>
    </row>
    <row r="57" spans="2:10" hidden="1" x14ac:dyDescent="0.35">
      <c r="B57" s="11">
        <v>15</v>
      </c>
      <c r="C57" s="17" t="s">
        <v>32</v>
      </c>
      <c r="D57" s="25"/>
      <c r="E57" s="25"/>
      <c r="F57" s="26">
        <f t="shared" si="6"/>
        <v>0</v>
      </c>
      <c r="G57" s="25">
        <f t="shared" si="8"/>
        <v>2565214.0300000003</v>
      </c>
      <c r="H57" s="12">
        <v>0</v>
      </c>
      <c r="I57" s="27">
        <v>0</v>
      </c>
      <c r="J57" s="23"/>
    </row>
    <row r="58" spans="2:10" hidden="1" x14ac:dyDescent="0.35">
      <c r="B58" s="11">
        <v>16</v>
      </c>
      <c r="C58" s="17" t="s">
        <v>33</v>
      </c>
      <c r="D58" s="25"/>
      <c r="E58" s="25"/>
      <c r="F58" s="26">
        <f t="shared" si="6"/>
        <v>0</v>
      </c>
      <c r="G58" s="25">
        <f t="shared" si="8"/>
        <v>2565214.0300000003</v>
      </c>
      <c r="H58" s="12">
        <v>0</v>
      </c>
      <c r="I58" s="27">
        <v>0</v>
      </c>
      <c r="J58" s="23"/>
    </row>
    <row r="59" spans="2:10" hidden="1" x14ac:dyDescent="0.35">
      <c r="B59" s="11">
        <v>17</v>
      </c>
      <c r="C59" s="17" t="s">
        <v>34</v>
      </c>
      <c r="D59" s="25"/>
      <c r="E59" s="25"/>
      <c r="F59" s="26">
        <f t="shared" si="6"/>
        <v>0</v>
      </c>
      <c r="G59" s="25">
        <f t="shared" si="8"/>
        <v>2565214.0300000003</v>
      </c>
      <c r="H59" s="12">
        <v>0</v>
      </c>
      <c r="I59" s="27">
        <v>0</v>
      </c>
      <c r="J59" s="23"/>
    </row>
    <row r="60" spans="2:10" hidden="1" x14ac:dyDescent="0.35">
      <c r="B60" s="11">
        <v>18</v>
      </c>
      <c r="C60" s="17" t="s">
        <v>35</v>
      </c>
      <c r="D60" s="25"/>
      <c r="E60" s="25"/>
      <c r="F60" s="26">
        <f t="shared" si="6"/>
        <v>0</v>
      </c>
      <c r="G60" s="25">
        <f t="shared" si="8"/>
        <v>2565214.0300000003</v>
      </c>
      <c r="H60" s="12">
        <v>0</v>
      </c>
      <c r="I60" s="27">
        <v>0</v>
      </c>
      <c r="J60" s="23"/>
    </row>
    <row r="61" spans="2:10" hidden="1" x14ac:dyDescent="0.35">
      <c r="B61" s="11">
        <v>19</v>
      </c>
      <c r="C61" s="17" t="s">
        <v>36</v>
      </c>
      <c r="D61" s="25"/>
      <c r="E61" s="25"/>
      <c r="F61" s="26">
        <f t="shared" si="6"/>
        <v>0</v>
      </c>
      <c r="G61" s="25">
        <f t="shared" si="8"/>
        <v>2565214.0300000003</v>
      </c>
      <c r="H61" s="12">
        <v>0</v>
      </c>
      <c r="I61" s="27">
        <v>0</v>
      </c>
      <c r="J61" s="23"/>
    </row>
    <row r="62" spans="2:10" hidden="1" x14ac:dyDescent="0.35">
      <c r="B62" s="11">
        <v>20</v>
      </c>
      <c r="C62" s="17" t="s">
        <v>37</v>
      </c>
      <c r="D62" s="25"/>
      <c r="E62" s="25"/>
      <c r="F62" s="26">
        <f t="shared" si="6"/>
        <v>0</v>
      </c>
      <c r="G62" s="25">
        <f t="shared" si="8"/>
        <v>2565214.0300000003</v>
      </c>
      <c r="H62" s="12">
        <v>0</v>
      </c>
      <c r="I62" s="27">
        <v>0</v>
      </c>
      <c r="J62" s="23"/>
    </row>
    <row r="63" spans="2:10" hidden="1" x14ac:dyDescent="0.35">
      <c r="B63" s="11">
        <v>21</v>
      </c>
      <c r="C63" s="17" t="s">
        <v>38</v>
      </c>
      <c r="D63" s="25"/>
      <c r="E63" s="25"/>
      <c r="F63" s="26">
        <f t="shared" si="6"/>
        <v>0</v>
      </c>
      <c r="G63" s="25">
        <f t="shared" si="8"/>
        <v>2565214.0300000003</v>
      </c>
      <c r="H63" s="12">
        <v>0</v>
      </c>
      <c r="I63" s="27">
        <v>0</v>
      </c>
      <c r="J63" s="23"/>
    </row>
    <row r="64" spans="2:10" hidden="1" x14ac:dyDescent="0.35">
      <c r="B64" s="11">
        <v>22</v>
      </c>
      <c r="C64" s="17" t="s">
        <v>39</v>
      </c>
      <c r="D64" s="25"/>
      <c r="E64" s="25"/>
      <c r="F64" s="26">
        <f t="shared" si="6"/>
        <v>0</v>
      </c>
      <c r="G64" s="25">
        <f t="shared" si="8"/>
        <v>2565214.0300000003</v>
      </c>
      <c r="H64" s="12">
        <v>0</v>
      </c>
      <c r="I64" s="27">
        <v>0</v>
      </c>
      <c r="J64" s="23"/>
    </row>
    <row r="65" spans="2:10" hidden="1" x14ac:dyDescent="0.35">
      <c r="B65" s="11">
        <v>23</v>
      </c>
      <c r="C65" s="17" t="s">
        <v>40</v>
      </c>
      <c r="D65" s="25"/>
      <c r="E65" s="25"/>
      <c r="F65" s="26">
        <f t="shared" si="6"/>
        <v>0</v>
      </c>
      <c r="G65" s="25">
        <f t="shared" si="8"/>
        <v>2565214.0300000003</v>
      </c>
      <c r="H65" s="12">
        <v>0</v>
      </c>
      <c r="I65" s="27">
        <v>0</v>
      </c>
      <c r="J65" s="23"/>
    </row>
    <row r="66" spans="2:10" hidden="1" x14ac:dyDescent="0.35">
      <c r="B66" s="11">
        <v>24</v>
      </c>
      <c r="C66" s="17" t="s">
        <v>41</v>
      </c>
      <c r="D66" s="25"/>
      <c r="E66" s="25"/>
      <c r="F66" s="26">
        <f t="shared" si="6"/>
        <v>0</v>
      </c>
      <c r="G66" s="25">
        <f t="shared" si="8"/>
        <v>2565214.0300000003</v>
      </c>
      <c r="H66" s="12">
        <v>0</v>
      </c>
      <c r="I66" s="27">
        <v>0</v>
      </c>
      <c r="J66" s="23"/>
    </row>
    <row r="67" spans="2:10" hidden="1" x14ac:dyDescent="0.35">
      <c r="B67" s="11">
        <v>25</v>
      </c>
      <c r="C67" s="19" t="s">
        <v>42</v>
      </c>
      <c r="D67" s="25"/>
      <c r="E67" s="25"/>
      <c r="F67" s="26">
        <f t="shared" si="6"/>
        <v>0</v>
      </c>
      <c r="G67" s="25">
        <f t="shared" si="8"/>
        <v>2565214.0300000003</v>
      </c>
      <c r="H67" s="12">
        <v>0</v>
      </c>
      <c r="I67" s="27">
        <v>0</v>
      </c>
      <c r="J67" s="23"/>
    </row>
    <row r="68" spans="2:10" hidden="1" x14ac:dyDescent="0.35">
      <c r="B68" s="29">
        <v>26</v>
      </c>
      <c r="C68" s="30" t="s">
        <v>43</v>
      </c>
      <c r="D68" s="31"/>
      <c r="E68" s="31"/>
      <c r="F68" s="32">
        <f t="shared" si="6"/>
        <v>0</v>
      </c>
      <c r="G68" s="31">
        <f t="shared" si="8"/>
        <v>2565214.0300000003</v>
      </c>
      <c r="H68" s="33">
        <v>0</v>
      </c>
      <c r="I68" s="34">
        <v>0</v>
      </c>
      <c r="J68" s="23"/>
    </row>
    <row r="69" spans="2:10" x14ac:dyDescent="0.35">
      <c r="B69" s="5"/>
      <c r="C69" s="5"/>
      <c r="D69" s="6"/>
      <c r="E69" s="6"/>
      <c r="F69" s="6"/>
      <c r="G69" s="6"/>
      <c r="H69" s="7"/>
      <c r="I69" s="6"/>
      <c r="J69" s="5"/>
    </row>
    <row r="70" spans="2:10" x14ac:dyDescent="0.35">
      <c r="B70" s="8" t="s">
        <v>44</v>
      </c>
      <c r="C70" s="5"/>
      <c r="D70" s="5"/>
      <c r="E70" s="5"/>
      <c r="F70" s="5"/>
      <c r="G70" s="5"/>
      <c r="H70" s="5"/>
      <c r="I70" s="5"/>
      <c r="J70" s="5"/>
    </row>
    <row r="71" spans="2:10" x14ac:dyDescent="0.35">
      <c r="B71" s="9" t="s">
        <v>45</v>
      </c>
      <c r="C71" s="5"/>
      <c r="D71" s="5"/>
      <c r="E71" s="5"/>
      <c r="F71" s="5"/>
      <c r="G71" s="5"/>
      <c r="H71" s="5"/>
      <c r="I71" s="5"/>
      <c r="J71" s="5"/>
    </row>
    <row r="72" spans="2:10" x14ac:dyDescent="0.35">
      <c r="B72" s="9" t="s">
        <v>46</v>
      </c>
      <c r="C72" s="5"/>
      <c r="D72" s="5"/>
      <c r="E72" s="5"/>
      <c r="F72" s="5"/>
      <c r="G72" s="5"/>
      <c r="H72" s="5"/>
      <c r="I72" s="5"/>
      <c r="J72" s="5"/>
    </row>
    <row r="73" spans="2:10" x14ac:dyDescent="0.35">
      <c r="B73" s="9" t="s">
        <v>47</v>
      </c>
      <c r="C73" s="5"/>
      <c r="D73" s="5"/>
      <c r="E73" s="5"/>
      <c r="F73" s="5"/>
      <c r="G73" s="5"/>
      <c r="H73" s="5"/>
      <c r="I73" s="5"/>
      <c r="J73" s="5"/>
    </row>
    <row r="74" spans="2:10" x14ac:dyDescent="0.35">
      <c r="B74" s="10"/>
      <c r="C74" s="10"/>
      <c r="D74" s="10"/>
      <c r="E74" s="10"/>
      <c r="F74" s="10"/>
      <c r="G74" s="10"/>
      <c r="H74" s="10"/>
      <c r="I74" s="10"/>
      <c r="J74" s="10"/>
    </row>
    <row r="75" spans="2:10" x14ac:dyDescent="0.35">
      <c r="B75" s="10"/>
      <c r="C75" s="10"/>
      <c r="D75" s="10"/>
      <c r="E75" s="10"/>
      <c r="F75" s="10"/>
      <c r="G75" s="10"/>
      <c r="H75" s="10"/>
      <c r="I75" s="10"/>
      <c r="J75" s="10"/>
    </row>
    <row r="76" spans="2:10" ht="18.5" x14ac:dyDescent="0.45">
      <c r="B76" s="10"/>
      <c r="C76" s="10"/>
      <c r="D76" s="165" t="s">
        <v>51</v>
      </c>
      <c r="E76" s="165"/>
      <c r="F76" s="165"/>
      <c r="G76" s="165"/>
      <c r="H76" s="165"/>
      <c r="I76" s="165"/>
      <c r="J76" s="10"/>
    </row>
    <row r="77" spans="2:10" s="38" customFormat="1" ht="16" x14ac:dyDescent="0.4">
      <c r="B77" s="28"/>
      <c r="C77" s="28"/>
      <c r="D77" s="166" t="s">
        <v>56</v>
      </c>
      <c r="E77" s="166"/>
      <c r="F77" s="166"/>
      <c r="G77" s="166"/>
      <c r="H77" s="166"/>
      <c r="I77" s="166"/>
      <c r="J77" s="28"/>
    </row>
    <row r="78" spans="2:10" ht="15.9" customHeight="1" x14ac:dyDescent="0.4">
      <c r="B78" s="124" t="s">
        <v>6</v>
      </c>
      <c r="C78" s="124"/>
      <c r="D78" s="124"/>
      <c r="E78" s="124"/>
      <c r="F78" s="124"/>
      <c r="G78" s="124"/>
      <c r="H78" s="124"/>
      <c r="I78" s="124"/>
      <c r="J78" s="124"/>
    </row>
    <row r="79" spans="2:10" ht="14.4" customHeight="1" x14ac:dyDescent="0.35">
      <c r="B79" s="15"/>
      <c r="C79" s="16"/>
      <c r="D79" s="148" t="s">
        <v>7</v>
      </c>
      <c r="E79" s="149"/>
      <c r="F79" s="149"/>
      <c r="G79" s="150"/>
      <c r="H79" s="151" t="s">
        <v>8</v>
      </c>
      <c r="I79" s="152"/>
      <c r="J79" s="4"/>
    </row>
    <row r="80" spans="2:10" x14ac:dyDescent="0.35">
      <c r="B80" s="13"/>
      <c r="C80" s="14"/>
      <c r="D80" s="155" t="s">
        <v>10</v>
      </c>
      <c r="E80" s="156"/>
      <c r="F80" s="156"/>
      <c r="G80" s="157"/>
      <c r="H80" s="153"/>
      <c r="I80" s="154"/>
      <c r="J80" s="4"/>
    </row>
    <row r="81" spans="2:10" ht="14.4" customHeight="1" x14ac:dyDescent="0.35">
      <c r="B81" s="128" t="s">
        <v>11</v>
      </c>
      <c r="C81" s="130" t="s">
        <v>12</v>
      </c>
      <c r="D81" s="20" t="s">
        <v>13</v>
      </c>
      <c r="E81" s="20" t="s">
        <v>14</v>
      </c>
      <c r="F81" s="20" t="s">
        <v>15</v>
      </c>
      <c r="G81" s="20" t="s">
        <v>16</v>
      </c>
      <c r="H81" s="158" t="s">
        <v>17</v>
      </c>
      <c r="I81" s="130" t="s">
        <v>18</v>
      </c>
      <c r="J81" s="21"/>
    </row>
    <row r="82" spans="2:10" ht="40.4" customHeight="1" x14ac:dyDescent="0.35">
      <c r="B82" s="129"/>
      <c r="C82" s="131"/>
      <c r="D82" s="160" t="s">
        <v>21</v>
      </c>
      <c r="E82" s="161"/>
      <c r="F82" s="161"/>
      <c r="G82" s="162"/>
      <c r="H82" s="159"/>
      <c r="I82" s="131"/>
      <c r="J82" s="21"/>
    </row>
    <row r="83" spans="2:10" x14ac:dyDescent="0.35">
      <c r="B83" s="43">
        <v>4</v>
      </c>
      <c r="C83" s="41" t="s">
        <v>22</v>
      </c>
      <c r="D83" s="22">
        <v>0</v>
      </c>
      <c r="E83" s="22">
        <v>0</v>
      </c>
      <c r="F83" s="61">
        <f>+D83+E83</f>
        <v>0</v>
      </c>
      <c r="G83" s="22">
        <f>+F83</f>
        <v>0</v>
      </c>
      <c r="H83" s="62" t="e">
        <f t="shared" ref="H83:H88" si="9">((G83-I83)/I83)*100</f>
        <v>#DIV/0!</v>
      </c>
      <c r="I83" s="22">
        <v>0</v>
      </c>
      <c r="J83" s="23"/>
    </row>
    <row r="84" spans="2:10" x14ac:dyDescent="0.35">
      <c r="B84" s="43">
        <v>5</v>
      </c>
      <c r="C84" s="41" t="s">
        <v>23</v>
      </c>
      <c r="D84" s="27">
        <v>0</v>
      </c>
      <c r="E84" s="27">
        <v>0</v>
      </c>
      <c r="F84" s="65">
        <f>+E84+D84</f>
        <v>0</v>
      </c>
      <c r="G84" s="27">
        <f>+G83+F84</f>
        <v>0</v>
      </c>
      <c r="H84" s="66" t="e">
        <f t="shared" si="9"/>
        <v>#DIV/0!</v>
      </c>
      <c r="I84" s="27">
        <v>0</v>
      </c>
      <c r="J84" s="23"/>
    </row>
    <row r="85" spans="2:10" x14ac:dyDescent="0.35">
      <c r="B85" s="43">
        <v>6</v>
      </c>
      <c r="C85" s="41" t="s">
        <v>24</v>
      </c>
      <c r="D85" s="27">
        <v>0</v>
      </c>
      <c r="E85" s="27">
        <v>0</v>
      </c>
      <c r="F85" s="65">
        <f>+E85+D85</f>
        <v>0</v>
      </c>
      <c r="G85" s="27">
        <f t="shared" ref="G85" si="10">+G84+F85</f>
        <v>0</v>
      </c>
      <c r="H85" s="66" t="e">
        <f t="shared" si="9"/>
        <v>#DIV/0!</v>
      </c>
      <c r="I85" s="27">
        <v>0</v>
      </c>
      <c r="J85" s="23"/>
    </row>
    <row r="86" spans="2:10" x14ac:dyDescent="0.35">
      <c r="B86" s="43">
        <v>7</v>
      </c>
      <c r="C86" s="41" t="s">
        <v>25</v>
      </c>
      <c r="D86" s="27">
        <v>3184.5</v>
      </c>
      <c r="E86" s="27">
        <v>0</v>
      </c>
      <c r="F86" s="65">
        <f t="shared" ref="F86:F105" si="11">+E86+D86</f>
        <v>3184.5</v>
      </c>
      <c r="G86" s="27">
        <f>+G85+F86</f>
        <v>3184.5</v>
      </c>
      <c r="H86" s="66" t="e">
        <f t="shared" si="9"/>
        <v>#DIV/0!</v>
      </c>
      <c r="I86" s="27">
        <v>0</v>
      </c>
      <c r="J86" s="23"/>
    </row>
    <row r="87" spans="2:10" x14ac:dyDescent="0.35">
      <c r="B87" s="43">
        <v>8</v>
      </c>
      <c r="C87" s="41" t="s">
        <v>26</v>
      </c>
      <c r="D87" s="27">
        <v>0</v>
      </c>
      <c r="E87" s="27">
        <v>0</v>
      </c>
      <c r="F87" s="65">
        <f t="shared" si="11"/>
        <v>0</v>
      </c>
      <c r="G87" s="27">
        <f t="shared" ref="G87:G88" si="12">+G86+F87</f>
        <v>3184.5</v>
      </c>
      <c r="H87" s="66" t="e">
        <f t="shared" si="9"/>
        <v>#DIV/0!</v>
      </c>
      <c r="I87" s="27">
        <v>0</v>
      </c>
      <c r="J87" s="23"/>
    </row>
    <row r="88" spans="2:10" x14ac:dyDescent="0.35">
      <c r="B88" s="43">
        <v>9</v>
      </c>
      <c r="C88" s="41" t="s">
        <v>27</v>
      </c>
      <c r="D88" s="27">
        <v>0</v>
      </c>
      <c r="E88" s="27">
        <v>0</v>
      </c>
      <c r="F88" s="65">
        <f t="shared" si="11"/>
        <v>0</v>
      </c>
      <c r="G88" s="69">
        <f t="shared" si="12"/>
        <v>3184.5</v>
      </c>
      <c r="H88" s="66" t="e">
        <f t="shared" si="9"/>
        <v>#DIV/0!</v>
      </c>
      <c r="I88" s="27">
        <v>0</v>
      </c>
      <c r="J88" s="23"/>
    </row>
    <row r="89" spans="2:10" hidden="1" x14ac:dyDescent="0.35">
      <c r="B89" s="11">
        <v>10</v>
      </c>
      <c r="C89" s="17" t="s">
        <v>50</v>
      </c>
      <c r="D89" s="25"/>
      <c r="E89" s="25"/>
      <c r="F89" s="26">
        <f t="shared" si="11"/>
        <v>0</v>
      </c>
      <c r="G89" s="25">
        <f t="shared" ref="G89:G105" si="13">+G88+F89</f>
        <v>3184.5</v>
      </c>
      <c r="H89" s="12">
        <v>0</v>
      </c>
      <c r="I89" s="27">
        <v>0</v>
      </c>
      <c r="J89" s="23"/>
    </row>
    <row r="90" spans="2:10" hidden="1" x14ac:dyDescent="0.35">
      <c r="B90" s="11">
        <v>11</v>
      </c>
      <c r="C90" s="17" t="s">
        <v>28</v>
      </c>
      <c r="D90" s="25"/>
      <c r="E90" s="25"/>
      <c r="F90" s="26">
        <f t="shared" si="11"/>
        <v>0</v>
      </c>
      <c r="G90" s="25">
        <f t="shared" si="13"/>
        <v>3184.5</v>
      </c>
      <c r="H90" s="12">
        <v>0</v>
      </c>
      <c r="I90" s="27">
        <v>0</v>
      </c>
      <c r="J90" s="23"/>
    </row>
    <row r="91" spans="2:10" hidden="1" x14ac:dyDescent="0.35">
      <c r="B91" s="11">
        <v>12</v>
      </c>
      <c r="C91" s="17" t="s">
        <v>29</v>
      </c>
      <c r="D91" s="25"/>
      <c r="E91" s="25"/>
      <c r="F91" s="26">
        <f t="shared" si="11"/>
        <v>0</v>
      </c>
      <c r="G91" s="25">
        <f t="shared" si="13"/>
        <v>3184.5</v>
      </c>
      <c r="H91" s="12">
        <v>0</v>
      </c>
      <c r="I91" s="27">
        <v>0</v>
      </c>
      <c r="J91" s="23"/>
    </row>
    <row r="92" spans="2:10" hidden="1" x14ac:dyDescent="0.35">
      <c r="B92" s="11">
        <v>13</v>
      </c>
      <c r="C92" s="17" t="s">
        <v>30</v>
      </c>
      <c r="D92" s="25"/>
      <c r="E92" s="25"/>
      <c r="F92" s="26">
        <f t="shared" si="11"/>
        <v>0</v>
      </c>
      <c r="G92" s="25">
        <f t="shared" si="13"/>
        <v>3184.5</v>
      </c>
      <c r="H92" s="12">
        <v>0</v>
      </c>
      <c r="I92" s="27">
        <v>0</v>
      </c>
      <c r="J92" s="23"/>
    </row>
    <row r="93" spans="2:10" hidden="1" x14ac:dyDescent="0.35">
      <c r="B93" s="11">
        <v>14</v>
      </c>
      <c r="C93" s="18" t="s">
        <v>31</v>
      </c>
      <c r="D93" s="25"/>
      <c r="E93" s="25"/>
      <c r="F93" s="26">
        <f t="shared" si="11"/>
        <v>0</v>
      </c>
      <c r="G93" s="25">
        <f t="shared" si="13"/>
        <v>3184.5</v>
      </c>
      <c r="H93" s="12">
        <v>0</v>
      </c>
      <c r="I93" s="27">
        <v>0</v>
      </c>
      <c r="J93" s="23"/>
    </row>
    <row r="94" spans="2:10" hidden="1" x14ac:dyDescent="0.35">
      <c r="B94" s="11">
        <v>15</v>
      </c>
      <c r="C94" s="17" t="s">
        <v>32</v>
      </c>
      <c r="D94" s="25"/>
      <c r="E94" s="25"/>
      <c r="F94" s="26">
        <f t="shared" si="11"/>
        <v>0</v>
      </c>
      <c r="G94" s="25">
        <f t="shared" si="13"/>
        <v>3184.5</v>
      </c>
      <c r="H94" s="12">
        <v>0</v>
      </c>
      <c r="I94" s="27">
        <v>0</v>
      </c>
      <c r="J94" s="23"/>
    </row>
    <row r="95" spans="2:10" hidden="1" x14ac:dyDescent="0.35">
      <c r="B95" s="11">
        <v>16</v>
      </c>
      <c r="C95" s="17" t="s">
        <v>33</v>
      </c>
      <c r="D95" s="25"/>
      <c r="E95" s="25"/>
      <c r="F95" s="26">
        <f t="shared" si="11"/>
        <v>0</v>
      </c>
      <c r="G95" s="25">
        <f t="shared" si="13"/>
        <v>3184.5</v>
      </c>
      <c r="H95" s="12">
        <v>0</v>
      </c>
      <c r="I95" s="27">
        <v>0</v>
      </c>
      <c r="J95" s="23"/>
    </row>
    <row r="96" spans="2:10" hidden="1" x14ac:dyDescent="0.35">
      <c r="B96" s="11">
        <v>17</v>
      </c>
      <c r="C96" s="17" t="s">
        <v>34</v>
      </c>
      <c r="D96" s="25"/>
      <c r="E96" s="25"/>
      <c r="F96" s="26">
        <f t="shared" si="11"/>
        <v>0</v>
      </c>
      <c r="G96" s="25">
        <f t="shared" si="13"/>
        <v>3184.5</v>
      </c>
      <c r="H96" s="12">
        <v>0</v>
      </c>
      <c r="I96" s="27">
        <v>0</v>
      </c>
      <c r="J96" s="23"/>
    </row>
    <row r="97" spans="2:10" hidden="1" x14ac:dyDescent="0.35">
      <c r="B97" s="11">
        <v>18</v>
      </c>
      <c r="C97" s="17" t="s">
        <v>35</v>
      </c>
      <c r="D97" s="25"/>
      <c r="E97" s="25"/>
      <c r="F97" s="26">
        <f t="shared" si="11"/>
        <v>0</v>
      </c>
      <c r="G97" s="25">
        <f t="shared" si="13"/>
        <v>3184.5</v>
      </c>
      <c r="H97" s="12">
        <v>0</v>
      </c>
      <c r="I97" s="27">
        <v>0</v>
      </c>
      <c r="J97" s="23"/>
    </row>
    <row r="98" spans="2:10" hidden="1" x14ac:dyDescent="0.35">
      <c r="B98" s="11">
        <v>19</v>
      </c>
      <c r="C98" s="17" t="s">
        <v>36</v>
      </c>
      <c r="D98" s="25"/>
      <c r="E98" s="25"/>
      <c r="F98" s="26">
        <f t="shared" si="11"/>
        <v>0</v>
      </c>
      <c r="G98" s="25">
        <f t="shared" si="13"/>
        <v>3184.5</v>
      </c>
      <c r="H98" s="12">
        <v>0</v>
      </c>
      <c r="I98" s="27">
        <v>0</v>
      </c>
      <c r="J98" s="23"/>
    </row>
    <row r="99" spans="2:10" hidden="1" x14ac:dyDescent="0.35">
      <c r="B99" s="11">
        <v>20</v>
      </c>
      <c r="C99" s="17" t="s">
        <v>37</v>
      </c>
      <c r="D99" s="25"/>
      <c r="E99" s="25"/>
      <c r="F99" s="26">
        <f t="shared" si="11"/>
        <v>0</v>
      </c>
      <c r="G99" s="25">
        <f t="shared" si="13"/>
        <v>3184.5</v>
      </c>
      <c r="H99" s="12">
        <v>0</v>
      </c>
      <c r="I99" s="27">
        <v>0</v>
      </c>
      <c r="J99" s="23"/>
    </row>
    <row r="100" spans="2:10" hidden="1" x14ac:dyDescent="0.35">
      <c r="B100" s="11">
        <v>21</v>
      </c>
      <c r="C100" s="17" t="s">
        <v>38</v>
      </c>
      <c r="D100" s="25"/>
      <c r="E100" s="25"/>
      <c r="F100" s="26">
        <f t="shared" si="11"/>
        <v>0</v>
      </c>
      <c r="G100" s="25">
        <f t="shared" si="13"/>
        <v>3184.5</v>
      </c>
      <c r="H100" s="12">
        <v>0</v>
      </c>
      <c r="I100" s="27">
        <v>0</v>
      </c>
      <c r="J100" s="23"/>
    </row>
    <row r="101" spans="2:10" hidden="1" x14ac:dyDescent="0.35">
      <c r="B101" s="11">
        <v>22</v>
      </c>
      <c r="C101" s="17" t="s">
        <v>39</v>
      </c>
      <c r="D101" s="25"/>
      <c r="E101" s="25"/>
      <c r="F101" s="26">
        <f t="shared" si="11"/>
        <v>0</v>
      </c>
      <c r="G101" s="25">
        <f t="shared" si="13"/>
        <v>3184.5</v>
      </c>
      <c r="H101" s="12">
        <v>0</v>
      </c>
      <c r="I101" s="27">
        <v>0</v>
      </c>
      <c r="J101" s="23"/>
    </row>
    <row r="102" spans="2:10" hidden="1" x14ac:dyDescent="0.35">
      <c r="B102" s="11">
        <v>23</v>
      </c>
      <c r="C102" s="17" t="s">
        <v>40</v>
      </c>
      <c r="D102" s="25"/>
      <c r="E102" s="25"/>
      <c r="F102" s="26">
        <f t="shared" si="11"/>
        <v>0</v>
      </c>
      <c r="G102" s="25">
        <f t="shared" si="13"/>
        <v>3184.5</v>
      </c>
      <c r="H102" s="12">
        <v>0</v>
      </c>
      <c r="I102" s="27">
        <v>0</v>
      </c>
      <c r="J102" s="23"/>
    </row>
    <row r="103" spans="2:10" hidden="1" x14ac:dyDescent="0.35">
      <c r="B103" s="11">
        <v>24</v>
      </c>
      <c r="C103" s="17" t="s">
        <v>41</v>
      </c>
      <c r="D103" s="25"/>
      <c r="E103" s="25"/>
      <c r="F103" s="26">
        <f t="shared" si="11"/>
        <v>0</v>
      </c>
      <c r="G103" s="25">
        <f t="shared" si="13"/>
        <v>3184.5</v>
      </c>
      <c r="H103" s="12">
        <v>0</v>
      </c>
      <c r="I103" s="27">
        <v>0</v>
      </c>
      <c r="J103" s="23"/>
    </row>
    <row r="104" spans="2:10" hidden="1" x14ac:dyDescent="0.35">
      <c r="B104" s="11">
        <v>25</v>
      </c>
      <c r="C104" s="19" t="s">
        <v>42</v>
      </c>
      <c r="D104" s="25"/>
      <c r="E104" s="25"/>
      <c r="F104" s="26">
        <f t="shared" si="11"/>
        <v>0</v>
      </c>
      <c r="G104" s="25">
        <f t="shared" si="13"/>
        <v>3184.5</v>
      </c>
      <c r="H104" s="12">
        <v>0</v>
      </c>
      <c r="I104" s="27">
        <v>0</v>
      </c>
      <c r="J104" s="23"/>
    </row>
    <row r="105" spans="2:10" hidden="1" x14ac:dyDescent="0.35">
      <c r="B105" s="29">
        <v>26</v>
      </c>
      <c r="C105" s="30" t="s">
        <v>43</v>
      </c>
      <c r="D105" s="31"/>
      <c r="E105" s="31"/>
      <c r="F105" s="32">
        <f t="shared" si="11"/>
        <v>0</v>
      </c>
      <c r="G105" s="31">
        <f t="shared" si="13"/>
        <v>3184.5</v>
      </c>
      <c r="H105" s="33">
        <v>0</v>
      </c>
      <c r="I105" s="34">
        <v>0</v>
      </c>
      <c r="J105" s="23"/>
    </row>
    <row r="106" spans="2:10" x14ac:dyDescent="0.35">
      <c r="B106" s="5"/>
      <c r="C106" s="5"/>
      <c r="D106" s="6"/>
      <c r="E106" s="6"/>
      <c r="F106" s="6"/>
      <c r="G106" s="6"/>
      <c r="H106" s="7"/>
      <c r="I106" s="6"/>
      <c r="J106" s="5"/>
    </row>
    <row r="107" spans="2:10" x14ac:dyDescent="0.35">
      <c r="B107" s="8" t="s">
        <v>44</v>
      </c>
      <c r="C107" s="5"/>
      <c r="D107" s="5"/>
      <c r="E107" s="5"/>
      <c r="F107" s="5"/>
      <c r="G107" s="5"/>
      <c r="H107" s="5"/>
      <c r="I107" s="5"/>
      <c r="J107" s="5"/>
    </row>
    <row r="108" spans="2:10" x14ac:dyDescent="0.35">
      <c r="B108" s="9" t="s">
        <v>45</v>
      </c>
      <c r="C108" s="5"/>
      <c r="D108" s="5"/>
      <c r="E108" s="5"/>
      <c r="F108" s="5"/>
      <c r="G108" s="5"/>
      <c r="H108" s="5"/>
      <c r="I108" s="5"/>
      <c r="J108" s="5"/>
    </row>
    <row r="109" spans="2:10" x14ac:dyDescent="0.35">
      <c r="B109" s="9" t="s">
        <v>46</v>
      </c>
      <c r="C109" s="5"/>
      <c r="D109" s="5"/>
      <c r="E109" s="5"/>
      <c r="F109" s="5"/>
      <c r="G109" s="5"/>
      <c r="H109" s="5"/>
      <c r="I109" s="5"/>
      <c r="J109" s="5"/>
    </row>
    <row r="110" spans="2:10" x14ac:dyDescent="0.35">
      <c r="B110" s="9" t="s">
        <v>47</v>
      </c>
      <c r="C110" s="5"/>
      <c r="D110" s="5"/>
      <c r="E110" s="5"/>
      <c r="F110" s="5"/>
      <c r="G110" s="5"/>
      <c r="H110" s="5"/>
      <c r="I110" s="5"/>
      <c r="J110" s="5"/>
    </row>
    <row r="113" spans="2:10" ht="18.5" x14ac:dyDescent="0.45">
      <c r="B113" s="10"/>
      <c r="C113" s="10"/>
      <c r="D113" s="167" t="s">
        <v>52</v>
      </c>
      <c r="E113" s="167"/>
      <c r="F113" s="167"/>
      <c r="G113" s="167"/>
      <c r="H113" s="167"/>
      <c r="I113" s="167"/>
      <c r="J113" s="10"/>
    </row>
    <row r="114" spans="2:10" s="38" customFormat="1" ht="16" x14ac:dyDescent="0.4">
      <c r="B114" s="28"/>
      <c r="C114" s="28"/>
      <c r="D114" s="168" t="s">
        <v>56</v>
      </c>
      <c r="E114" s="168"/>
      <c r="F114" s="168"/>
      <c r="G114" s="168"/>
      <c r="H114" s="168"/>
      <c r="I114" s="168"/>
      <c r="J114" s="28"/>
    </row>
    <row r="115" spans="2:10" ht="15.9" customHeight="1" x14ac:dyDescent="0.4">
      <c r="B115" s="124" t="s">
        <v>6</v>
      </c>
      <c r="C115" s="124"/>
      <c r="D115" s="124"/>
      <c r="E115" s="124"/>
      <c r="F115" s="124"/>
      <c r="G115" s="124"/>
      <c r="H115" s="124"/>
      <c r="I115" s="124"/>
      <c r="J115" s="124"/>
    </row>
    <row r="116" spans="2:10" ht="14.4" customHeight="1" x14ac:dyDescent="0.35">
      <c r="B116" s="15"/>
      <c r="C116" s="16"/>
      <c r="D116" s="148" t="s">
        <v>7</v>
      </c>
      <c r="E116" s="149"/>
      <c r="F116" s="149"/>
      <c r="G116" s="150"/>
      <c r="H116" s="151" t="s">
        <v>8</v>
      </c>
      <c r="I116" s="152"/>
      <c r="J116" s="4"/>
    </row>
    <row r="117" spans="2:10" x14ac:dyDescent="0.35">
      <c r="B117" s="13"/>
      <c r="C117" s="14"/>
      <c r="D117" s="155" t="s">
        <v>10</v>
      </c>
      <c r="E117" s="156"/>
      <c r="F117" s="156"/>
      <c r="G117" s="157"/>
      <c r="H117" s="153"/>
      <c r="I117" s="154"/>
      <c r="J117" s="4"/>
    </row>
    <row r="118" spans="2:10" ht="14.4" customHeight="1" x14ac:dyDescent="0.35">
      <c r="B118" s="128" t="s">
        <v>11</v>
      </c>
      <c r="C118" s="130" t="s">
        <v>12</v>
      </c>
      <c r="D118" s="20" t="s">
        <v>13</v>
      </c>
      <c r="E118" s="20" t="s">
        <v>14</v>
      </c>
      <c r="F118" s="20" t="s">
        <v>15</v>
      </c>
      <c r="G118" s="20" t="s">
        <v>16</v>
      </c>
      <c r="H118" s="158" t="s">
        <v>17</v>
      </c>
      <c r="I118" s="130" t="s">
        <v>18</v>
      </c>
      <c r="J118" s="21"/>
    </row>
    <row r="119" spans="2:10" ht="37.65" customHeight="1" x14ac:dyDescent="0.35">
      <c r="B119" s="129"/>
      <c r="C119" s="131"/>
      <c r="D119" s="160" t="s">
        <v>21</v>
      </c>
      <c r="E119" s="161"/>
      <c r="F119" s="161"/>
      <c r="G119" s="162"/>
      <c r="H119" s="159"/>
      <c r="I119" s="131"/>
      <c r="J119" s="21"/>
    </row>
    <row r="120" spans="2:10" x14ac:dyDescent="0.35">
      <c r="B120" s="43">
        <v>4</v>
      </c>
      <c r="C120" s="41" t="s">
        <v>22</v>
      </c>
      <c r="D120" s="22">
        <v>10543</v>
      </c>
      <c r="E120" s="22">
        <v>0</v>
      </c>
      <c r="F120" s="61">
        <f>+D120+E120</f>
        <v>10543</v>
      </c>
      <c r="G120" s="22">
        <f>+F120</f>
        <v>10543</v>
      </c>
      <c r="H120" s="62" t="e">
        <f t="shared" ref="H120:H125" si="14">((G120-I120)/I120)*100</f>
        <v>#DIV/0!</v>
      </c>
      <c r="I120" s="22">
        <v>0</v>
      </c>
      <c r="J120" s="23"/>
    </row>
    <row r="121" spans="2:10" x14ac:dyDescent="0.35">
      <c r="B121" s="43">
        <v>5</v>
      </c>
      <c r="C121" s="41" t="s">
        <v>23</v>
      </c>
      <c r="D121" s="27">
        <v>11068.5</v>
      </c>
      <c r="E121" s="27">
        <v>0</v>
      </c>
      <c r="F121" s="65">
        <f>+E121+D121</f>
        <v>11068.5</v>
      </c>
      <c r="G121" s="27">
        <f>+G120+F121</f>
        <v>21611.5</v>
      </c>
      <c r="H121" s="66">
        <f t="shared" si="14"/>
        <v>266.85622135460869</v>
      </c>
      <c r="I121" s="27">
        <v>5891</v>
      </c>
      <c r="J121" s="23"/>
    </row>
    <row r="122" spans="2:10" x14ac:dyDescent="0.35">
      <c r="B122" s="43">
        <v>6</v>
      </c>
      <c r="C122" s="41" t="s">
        <v>24</v>
      </c>
      <c r="D122" s="27">
        <v>0</v>
      </c>
      <c r="E122" s="27">
        <v>0</v>
      </c>
      <c r="F122" s="65">
        <f>+E122+D122</f>
        <v>0</v>
      </c>
      <c r="G122" s="27">
        <f t="shared" ref="G122" si="15">+G121+F122</f>
        <v>21611.5</v>
      </c>
      <c r="H122" s="66">
        <f t="shared" si="14"/>
        <v>266.85622135460869</v>
      </c>
      <c r="I122" s="27">
        <f>+I121+0</f>
        <v>5891</v>
      </c>
      <c r="J122" s="23"/>
    </row>
    <row r="123" spans="2:10" x14ac:dyDescent="0.35">
      <c r="B123" s="43">
        <v>7</v>
      </c>
      <c r="C123" s="41" t="s">
        <v>25</v>
      </c>
      <c r="D123" s="27">
        <v>3123.5</v>
      </c>
      <c r="E123" s="27">
        <v>0</v>
      </c>
      <c r="F123" s="65">
        <f t="shared" ref="F123:F142" si="16">+E123+D123</f>
        <v>3123.5</v>
      </c>
      <c r="G123" s="27">
        <f>+G122+F123</f>
        <v>24735</v>
      </c>
      <c r="H123" s="66">
        <f t="shared" si="14"/>
        <v>319.8777796638941</v>
      </c>
      <c r="I123" s="27">
        <f>+I122+0</f>
        <v>5891</v>
      </c>
      <c r="J123" s="23"/>
    </row>
    <row r="124" spans="2:10" x14ac:dyDescent="0.35">
      <c r="B124" s="43">
        <v>8</v>
      </c>
      <c r="C124" s="41" t="s">
        <v>26</v>
      </c>
      <c r="D124" s="27">
        <v>0</v>
      </c>
      <c r="E124" s="27">
        <v>0</v>
      </c>
      <c r="F124" s="65">
        <f t="shared" si="16"/>
        <v>0</v>
      </c>
      <c r="G124" s="27">
        <f t="shared" ref="G124:G125" si="17">+G123+F124</f>
        <v>24735</v>
      </c>
      <c r="H124" s="66">
        <f t="shared" si="14"/>
        <v>319.8777796638941</v>
      </c>
      <c r="I124" s="27">
        <v>5891</v>
      </c>
      <c r="J124" s="23"/>
    </row>
    <row r="125" spans="2:10" x14ac:dyDescent="0.35">
      <c r="B125" s="43">
        <v>9</v>
      </c>
      <c r="C125" s="41" t="s">
        <v>27</v>
      </c>
      <c r="D125" s="27">
        <v>0</v>
      </c>
      <c r="E125" s="27">
        <v>0</v>
      </c>
      <c r="F125" s="65">
        <f t="shared" si="16"/>
        <v>0</v>
      </c>
      <c r="G125" s="70">
        <f t="shared" si="17"/>
        <v>24735</v>
      </c>
      <c r="H125" s="66">
        <f t="shared" si="14"/>
        <v>319.8777796638941</v>
      </c>
      <c r="I125" s="27">
        <f>+I124</f>
        <v>5891</v>
      </c>
      <c r="J125" s="23"/>
    </row>
    <row r="126" spans="2:10" hidden="1" x14ac:dyDescent="0.35">
      <c r="B126" s="11">
        <v>10</v>
      </c>
      <c r="C126" s="17" t="s">
        <v>50</v>
      </c>
      <c r="D126" s="25"/>
      <c r="E126" s="25"/>
      <c r="F126" s="26">
        <f t="shared" si="16"/>
        <v>0</v>
      </c>
      <c r="G126" s="25">
        <f t="shared" ref="G126:G142" si="18">+G125+F126</f>
        <v>24735</v>
      </c>
      <c r="H126" s="12">
        <v>0</v>
      </c>
      <c r="I126" s="27">
        <v>0</v>
      </c>
      <c r="J126" s="23"/>
    </row>
    <row r="127" spans="2:10" hidden="1" x14ac:dyDescent="0.35">
      <c r="B127" s="11">
        <v>11</v>
      </c>
      <c r="C127" s="17" t="s">
        <v>28</v>
      </c>
      <c r="D127" s="25"/>
      <c r="E127" s="25"/>
      <c r="F127" s="26">
        <f t="shared" si="16"/>
        <v>0</v>
      </c>
      <c r="G127" s="25">
        <f t="shared" si="18"/>
        <v>24735</v>
      </c>
      <c r="H127" s="12">
        <v>0</v>
      </c>
      <c r="I127" s="27">
        <v>0</v>
      </c>
      <c r="J127" s="23"/>
    </row>
    <row r="128" spans="2:10" hidden="1" x14ac:dyDescent="0.35">
      <c r="B128" s="11">
        <v>12</v>
      </c>
      <c r="C128" s="17" t="s">
        <v>29</v>
      </c>
      <c r="D128" s="25"/>
      <c r="E128" s="25"/>
      <c r="F128" s="26">
        <f t="shared" si="16"/>
        <v>0</v>
      </c>
      <c r="G128" s="25">
        <f t="shared" si="18"/>
        <v>24735</v>
      </c>
      <c r="H128" s="12">
        <v>0</v>
      </c>
      <c r="I128" s="27">
        <v>0</v>
      </c>
      <c r="J128" s="23"/>
    </row>
    <row r="129" spans="2:10" hidden="1" x14ac:dyDescent="0.35">
      <c r="B129" s="11">
        <v>13</v>
      </c>
      <c r="C129" s="17" t="s">
        <v>30</v>
      </c>
      <c r="D129" s="25"/>
      <c r="E129" s="25"/>
      <c r="F129" s="26">
        <f t="shared" si="16"/>
        <v>0</v>
      </c>
      <c r="G129" s="25">
        <f t="shared" si="18"/>
        <v>24735</v>
      </c>
      <c r="H129" s="12">
        <v>0</v>
      </c>
      <c r="I129" s="27">
        <v>0</v>
      </c>
      <c r="J129" s="23"/>
    </row>
    <row r="130" spans="2:10" hidden="1" x14ac:dyDescent="0.35">
      <c r="B130" s="11">
        <v>14</v>
      </c>
      <c r="C130" s="18" t="s">
        <v>31</v>
      </c>
      <c r="D130" s="25"/>
      <c r="E130" s="25"/>
      <c r="F130" s="26">
        <f t="shared" si="16"/>
        <v>0</v>
      </c>
      <c r="G130" s="25">
        <f t="shared" si="18"/>
        <v>24735</v>
      </c>
      <c r="H130" s="12">
        <v>0</v>
      </c>
      <c r="I130" s="27">
        <v>0</v>
      </c>
      <c r="J130" s="23"/>
    </row>
    <row r="131" spans="2:10" hidden="1" x14ac:dyDescent="0.35">
      <c r="B131" s="11">
        <v>15</v>
      </c>
      <c r="C131" s="17" t="s">
        <v>32</v>
      </c>
      <c r="D131" s="25"/>
      <c r="E131" s="25"/>
      <c r="F131" s="26">
        <f t="shared" si="16"/>
        <v>0</v>
      </c>
      <c r="G131" s="25">
        <f t="shared" si="18"/>
        <v>24735</v>
      </c>
      <c r="H131" s="12">
        <v>0</v>
      </c>
      <c r="I131" s="27">
        <v>0</v>
      </c>
      <c r="J131" s="23"/>
    </row>
    <row r="132" spans="2:10" hidden="1" x14ac:dyDescent="0.35">
      <c r="B132" s="11">
        <v>16</v>
      </c>
      <c r="C132" s="17" t="s">
        <v>33</v>
      </c>
      <c r="D132" s="25"/>
      <c r="E132" s="25"/>
      <c r="F132" s="26">
        <f t="shared" si="16"/>
        <v>0</v>
      </c>
      <c r="G132" s="25">
        <f t="shared" si="18"/>
        <v>24735</v>
      </c>
      <c r="H132" s="12">
        <v>0</v>
      </c>
      <c r="I132" s="27">
        <v>0</v>
      </c>
      <c r="J132" s="23"/>
    </row>
    <row r="133" spans="2:10" hidden="1" x14ac:dyDescent="0.35">
      <c r="B133" s="11">
        <v>17</v>
      </c>
      <c r="C133" s="17" t="s">
        <v>34</v>
      </c>
      <c r="D133" s="25"/>
      <c r="E133" s="25"/>
      <c r="F133" s="26">
        <f t="shared" si="16"/>
        <v>0</v>
      </c>
      <c r="G133" s="25">
        <f t="shared" si="18"/>
        <v>24735</v>
      </c>
      <c r="H133" s="12">
        <v>0</v>
      </c>
      <c r="I133" s="27">
        <v>0</v>
      </c>
      <c r="J133" s="23"/>
    </row>
    <row r="134" spans="2:10" hidden="1" x14ac:dyDescent="0.35">
      <c r="B134" s="11">
        <v>18</v>
      </c>
      <c r="C134" s="17" t="s">
        <v>35</v>
      </c>
      <c r="D134" s="25"/>
      <c r="E134" s="25"/>
      <c r="F134" s="26">
        <f t="shared" si="16"/>
        <v>0</v>
      </c>
      <c r="G134" s="25">
        <f t="shared" si="18"/>
        <v>24735</v>
      </c>
      <c r="H134" s="12">
        <v>0</v>
      </c>
      <c r="I134" s="27">
        <v>0</v>
      </c>
      <c r="J134" s="23"/>
    </row>
    <row r="135" spans="2:10" hidden="1" x14ac:dyDescent="0.35">
      <c r="B135" s="11">
        <v>19</v>
      </c>
      <c r="C135" s="17" t="s">
        <v>36</v>
      </c>
      <c r="D135" s="25"/>
      <c r="E135" s="25"/>
      <c r="F135" s="26">
        <f t="shared" si="16"/>
        <v>0</v>
      </c>
      <c r="G135" s="25">
        <f t="shared" si="18"/>
        <v>24735</v>
      </c>
      <c r="H135" s="12">
        <v>0</v>
      </c>
      <c r="I135" s="27">
        <v>0</v>
      </c>
      <c r="J135" s="23"/>
    </row>
    <row r="136" spans="2:10" hidden="1" x14ac:dyDescent="0.35">
      <c r="B136" s="11">
        <v>20</v>
      </c>
      <c r="C136" s="17" t="s">
        <v>37</v>
      </c>
      <c r="D136" s="25"/>
      <c r="E136" s="25"/>
      <c r="F136" s="26">
        <f t="shared" si="16"/>
        <v>0</v>
      </c>
      <c r="G136" s="25">
        <f t="shared" si="18"/>
        <v>24735</v>
      </c>
      <c r="H136" s="12">
        <v>0</v>
      </c>
      <c r="I136" s="27">
        <v>0</v>
      </c>
      <c r="J136" s="23"/>
    </row>
    <row r="137" spans="2:10" hidden="1" x14ac:dyDescent="0.35">
      <c r="B137" s="11">
        <v>21</v>
      </c>
      <c r="C137" s="17" t="s">
        <v>38</v>
      </c>
      <c r="D137" s="25"/>
      <c r="E137" s="25"/>
      <c r="F137" s="26">
        <f t="shared" si="16"/>
        <v>0</v>
      </c>
      <c r="G137" s="25">
        <f t="shared" si="18"/>
        <v>24735</v>
      </c>
      <c r="H137" s="12">
        <v>0</v>
      </c>
      <c r="I137" s="27">
        <v>0</v>
      </c>
      <c r="J137" s="23"/>
    </row>
    <row r="138" spans="2:10" hidden="1" x14ac:dyDescent="0.35">
      <c r="B138" s="11">
        <v>22</v>
      </c>
      <c r="C138" s="17" t="s">
        <v>39</v>
      </c>
      <c r="D138" s="25"/>
      <c r="E138" s="25"/>
      <c r="F138" s="26">
        <f t="shared" si="16"/>
        <v>0</v>
      </c>
      <c r="G138" s="25">
        <f t="shared" si="18"/>
        <v>24735</v>
      </c>
      <c r="H138" s="12">
        <v>0</v>
      </c>
      <c r="I138" s="27">
        <v>0</v>
      </c>
      <c r="J138" s="23"/>
    </row>
    <row r="139" spans="2:10" hidden="1" x14ac:dyDescent="0.35">
      <c r="B139" s="11">
        <v>23</v>
      </c>
      <c r="C139" s="17" t="s">
        <v>40</v>
      </c>
      <c r="D139" s="25"/>
      <c r="E139" s="25"/>
      <c r="F139" s="26">
        <f t="shared" si="16"/>
        <v>0</v>
      </c>
      <c r="G139" s="25">
        <f t="shared" si="18"/>
        <v>24735</v>
      </c>
      <c r="H139" s="12">
        <v>0</v>
      </c>
      <c r="I139" s="27">
        <v>0</v>
      </c>
      <c r="J139" s="23"/>
    </row>
    <row r="140" spans="2:10" hidden="1" x14ac:dyDescent="0.35">
      <c r="B140" s="11">
        <v>24</v>
      </c>
      <c r="C140" s="17" t="s">
        <v>41</v>
      </c>
      <c r="D140" s="25"/>
      <c r="E140" s="25"/>
      <c r="F140" s="26">
        <f t="shared" si="16"/>
        <v>0</v>
      </c>
      <c r="G140" s="25">
        <f t="shared" si="18"/>
        <v>24735</v>
      </c>
      <c r="H140" s="12">
        <v>0</v>
      </c>
      <c r="I140" s="27">
        <v>0</v>
      </c>
      <c r="J140" s="23"/>
    </row>
    <row r="141" spans="2:10" hidden="1" x14ac:dyDescent="0.35">
      <c r="B141" s="11">
        <v>25</v>
      </c>
      <c r="C141" s="19" t="s">
        <v>42</v>
      </c>
      <c r="D141" s="25"/>
      <c r="E141" s="25"/>
      <c r="F141" s="26">
        <f t="shared" si="16"/>
        <v>0</v>
      </c>
      <c r="G141" s="25">
        <f t="shared" si="18"/>
        <v>24735</v>
      </c>
      <c r="H141" s="12">
        <v>0</v>
      </c>
      <c r="I141" s="27">
        <v>0</v>
      </c>
      <c r="J141" s="23"/>
    </row>
    <row r="142" spans="2:10" hidden="1" x14ac:dyDescent="0.35">
      <c r="B142" s="29">
        <v>26</v>
      </c>
      <c r="C142" s="30" t="s">
        <v>43</v>
      </c>
      <c r="D142" s="31"/>
      <c r="E142" s="31"/>
      <c r="F142" s="32">
        <f t="shared" si="16"/>
        <v>0</v>
      </c>
      <c r="G142" s="31">
        <f t="shared" si="18"/>
        <v>24735</v>
      </c>
      <c r="H142" s="33">
        <v>0</v>
      </c>
      <c r="I142" s="34">
        <v>0</v>
      </c>
      <c r="J142" s="23"/>
    </row>
    <row r="143" spans="2:10" x14ac:dyDescent="0.35">
      <c r="B143" s="5"/>
      <c r="C143" s="5"/>
      <c r="D143" s="6"/>
      <c r="E143" s="6"/>
      <c r="F143" s="6"/>
      <c r="G143" s="6"/>
      <c r="H143" s="7"/>
      <c r="I143" s="6"/>
      <c r="J143" s="5"/>
    </row>
    <row r="144" spans="2:10" x14ac:dyDescent="0.35">
      <c r="B144" s="8" t="s">
        <v>44</v>
      </c>
      <c r="C144" s="5"/>
      <c r="D144" s="5"/>
      <c r="E144" s="5"/>
      <c r="F144" s="5"/>
      <c r="G144" s="5"/>
      <c r="H144" s="5"/>
      <c r="I144" s="5"/>
      <c r="J144" s="5"/>
    </row>
    <row r="145" spans="2:10" x14ac:dyDescent="0.35">
      <c r="B145" s="9" t="s">
        <v>45</v>
      </c>
      <c r="C145" s="5"/>
      <c r="D145" s="5"/>
      <c r="E145" s="5"/>
      <c r="F145" s="5"/>
      <c r="G145" s="5"/>
      <c r="H145" s="5"/>
      <c r="I145" s="5"/>
      <c r="J145" s="5"/>
    </row>
    <row r="146" spans="2:10" x14ac:dyDescent="0.35">
      <c r="B146" s="9" t="s">
        <v>46</v>
      </c>
      <c r="C146" s="5"/>
      <c r="D146" s="5"/>
      <c r="E146" s="5"/>
      <c r="F146" s="5"/>
      <c r="G146" s="5"/>
      <c r="H146" s="5"/>
      <c r="I146" s="5"/>
      <c r="J146" s="5"/>
    </row>
    <row r="147" spans="2:10" x14ac:dyDescent="0.35">
      <c r="B147" s="9" t="s">
        <v>47</v>
      </c>
      <c r="C147" s="5"/>
      <c r="D147" s="5"/>
      <c r="E147" s="5"/>
      <c r="F147" s="5"/>
      <c r="G147" s="5"/>
      <c r="H147" s="5"/>
      <c r="I147" s="5"/>
      <c r="J147" s="5"/>
    </row>
  </sheetData>
  <mergeCells count="43">
    <mergeCell ref="B118:B119"/>
    <mergeCell ref="C118:C119"/>
    <mergeCell ref="H118:H119"/>
    <mergeCell ref="I118:I119"/>
    <mergeCell ref="D119:G119"/>
    <mergeCell ref="B81:B82"/>
    <mergeCell ref="C81:C82"/>
    <mergeCell ref="H81:H82"/>
    <mergeCell ref="I81:I82"/>
    <mergeCell ref="D82:G82"/>
    <mergeCell ref="B44:B45"/>
    <mergeCell ref="C44:C45"/>
    <mergeCell ref="H44:H45"/>
    <mergeCell ref="I44:I45"/>
    <mergeCell ref="D45:G45"/>
    <mergeCell ref="H116:I117"/>
    <mergeCell ref="D117:G117"/>
    <mergeCell ref="D113:I113"/>
    <mergeCell ref="D116:G116"/>
    <mergeCell ref="D114:I114"/>
    <mergeCell ref="B115:J115"/>
    <mergeCell ref="H79:I80"/>
    <mergeCell ref="D80:G80"/>
    <mergeCell ref="D76:I76"/>
    <mergeCell ref="D79:G79"/>
    <mergeCell ref="D77:I77"/>
    <mergeCell ref="B78:J78"/>
    <mergeCell ref="H42:I43"/>
    <mergeCell ref="D43:G43"/>
    <mergeCell ref="D39:I39"/>
    <mergeCell ref="D42:G42"/>
    <mergeCell ref="D40:I40"/>
    <mergeCell ref="B41:J41"/>
    <mergeCell ref="B7:B8"/>
    <mergeCell ref="C7:C8"/>
    <mergeCell ref="H7:H8"/>
    <mergeCell ref="I7:I8"/>
    <mergeCell ref="D8:G8"/>
    <mergeCell ref="D3:I3"/>
    <mergeCell ref="B4:J4"/>
    <mergeCell ref="D5:G5"/>
    <mergeCell ref="H5:I6"/>
    <mergeCell ref="D6:G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9B908-D4C7-4CE7-9911-A4A53250205B}">
  <dimension ref="B3:L147"/>
  <sheetViews>
    <sheetView topLeftCell="B11" workbookViewId="0">
      <selection activeCell="B126" sqref="A126:XFD142"/>
    </sheetView>
  </sheetViews>
  <sheetFormatPr defaultColWidth="9" defaultRowHeight="14.5" x14ac:dyDescent="0.35"/>
  <cols>
    <col min="1" max="1" width="2" style="3" customWidth="1"/>
    <col min="2" max="2" width="6.09765625" style="3" customWidth="1"/>
    <col min="3" max="3" width="25.59765625" style="3" customWidth="1"/>
    <col min="4" max="4" width="18.59765625" style="3" customWidth="1"/>
    <col min="5" max="5" width="13" style="3" customWidth="1"/>
    <col min="6" max="6" width="14.8984375" style="3" customWidth="1"/>
    <col min="7" max="7" width="14.59765625" style="3" customWidth="1"/>
    <col min="8" max="9" width="13" style="3" customWidth="1"/>
    <col min="10" max="16384" width="9" style="3"/>
  </cols>
  <sheetData>
    <row r="3" spans="2:12" s="38" customFormat="1" ht="18.5" x14ac:dyDescent="0.45">
      <c r="B3" s="28"/>
      <c r="C3" s="28"/>
      <c r="D3" s="147" t="s">
        <v>57</v>
      </c>
      <c r="E3" s="147"/>
      <c r="F3" s="147"/>
      <c r="G3" s="147"/>
      <c r="H3" s="147"/>
      <c r="I3" s="147"/>
      <c r="J3" s="28"/>
      <c r="K3" s="39"/>
      <c r="L3" s="2"/>
    </row>
    <row r="4" spans="2:12" ht="15.9" customHeight="1" x14ac:dyDescent="0.4">
      <c r="B4" s="124" t="s">
        <v>6</v>
      </c>
      <c r="C4" s="124"/>
      <c r="D4" s="124"/>
      <c r="E4" s="124"/>
      <c r="F4" s="124"/>
      <c r="G4" s="124"/>
      <c r="H4" s="124"/>
      <c r="I4" s="124"/>
      <c r="J4" s="124"/>
      <c r="K4" s="1"/>
      <c r="L4" s="2"/>
    </row>
    <row r="5" spans="2:12" ht="14.4" customHeight="1" x14ac:dyDescent="0.35">
      <c r="B5" s="15"/>
      <c r="C5" s="16"/>
      <c r="D5" s="148" t="s">
        <v>7</v>
      </c>
      <c r="E5" s="149"/>
      <c r="F5" s="149"/>
      <c r="G5" s="150"/>
      <c r="H5" s="151" t="s">
        <v>8</v>
      </c>
      <c r="I5" s="152"/>
      <c r="J5" s="4"/>
      <c r="K5" s="1"/>
      <c r="L5" s="2"/>
    </row>
    <row r="6" spans="2:12" x14ac:dyDescent="0.35">
      <c r="B6" s="13"/>
      <c r="C6" s="14"/>
      <c r="D6" s="155" t="s">
        <v>10</v>
      </c>
      <c r="E6" s="156"/>
      <c r="F6" s="156"/>
      <c r="G6" s="157"/>
      <c r="H6" s="153"/>
      <c r="I6" s="154"/>
      <c r="J6" s="4"/>
      <c r="K6" s="1"/>
      <c r="L6" s="2"/>
    </row>
    <row r="7" spans="2:12" ht="18.899999999999999" customHeight="1" x14ac:dyDescent="0.35">
      <c r="B7" s="128" t="s">
        <v>11</v>
      </c>
      <c r="C7" s="130" t="s">
        <v>12</v>
      </c>
      <c r="D7" s="20" t="s">
        <v>13</v>
      </c>
      <c r="E7" s="20" t="s">
        <v>14</v>
      </c>
      <c r="F7" s="20" t="s">
        <v>15</v>
      </c>
      <c r="G7" s="20" t="s">
        <v>16</v>
      </c>
      <c r="H7" s="158" t="s">
        <v>17</v>
      </c>
      <c r="I7" s="130" t="s">
        <v>18</v>
      </c>
      <c r="J7" s="21"/>
      <c r="K7" s="1"/>
      <c r="L7" s="2"/>
    </row>
    <row r="8" spans="2:12" ht="33" customHeight="1" x14ac:dyDescent="0.35">
      <c r="B8" s="129"/>
      <c r="C8" s="131"/>
      <c r="D8" s="160" t="s">
        <v>21</v>
      </c>
      <c r="E8" s="161"/>
      <c r="F8" s="161"/>
      <c r="G8" s="162"/>
      <c r="H8" s="159"/>
      <c r="I8" s="131"/>
      <c r="J8" s="21"/>
      <c r="K8" s="1"/>
    </row>
    <row r="9" spans="2:12" x14ac:dyDescent="0.35">
      <c r="B9" s="43">
        <v>4</v>
      </c>
      <c r="C9" s="41" t="s">
        <v>22</v>
      </c>
      <c r="D9" s="22">
        <v>116966.7</v>
      </c>
      <c r="E9" s="22">
        <v>0</v>
      </c>
      <c r="F9" s="61">
        <f>+D9+E9</f>
        <v>116966.7</v>
      </c>
      <c r="G9" s="22">
        <f>+F9</f>
        <v>116966.7</v>
      </c>
      <c r="H9" s="62">
        <f t="shared" ref="H9:H14" si="0">((G9-I9)/I9)*100</f>
        <v>191.63662203605355</v>
      </c>
      <c r="I9" s="22">
        <v>40107</v>
      </c>
      <c r="J9" s="23"/>
      <c r="K9" s="1"/>
    </row>
    <row r="10" spans="2:12" x14ac:dyDescent="0.35">
      <c r="B10" s="43">
        <v>5</v>
      </c>
      <c r="C10" s="41" t="s">
        <v>23</v>
      </c>
      <c r="D10" s="27">
        <v>165330.03</v>
      </c>
      <c r="E10" s="27">
        <v>0</v>
      </c>
      <c r="F10" s="65">
        <f>+E10+D10</f>
        <v>165330.03</v>
      </c>
      <c r="G10" s="27">
        <f>+G9+F10</f>
        <v>282296.73</v>
      </c>
      <c r="H10" s="66">
        <f t="shared" si="0"/>
        <v>-35.736221702268182</v>
      </c>
      <c r="I10" s="27">
        <f>+I9+399171.14</f>
        <v>439278.14</v>
      </c>
      <c r="J10" s="23"/>
      <c r="K10" s="1"/>
    </row>
    <row r="11" spans="2:12" x14ac:dyDescent="0.35">
      <c r="B11" s="43">
        <v>6</v>
      </c>
      <c r="C11" s="41" t="s">
        <v>24</v>
      </c>
      <c r="D11" s="27">
        <v>896702.52</v>
      </c>
      <c r="E11" s="27">
        <v>0</v>
      </c>
      <c r="F11" s="65">
        <f>+E11+D11</f>
        <v>896702.52</v>
      </c>
      <c r="G11" s="27">
        <f t="shared" ref="G11:G31" si="1">+G10+F11</f>
        <v>1178999.25</v>
      </c>
      <c r="H11" s="66">
        <f t="shared" si="0"/>
        <v>44.606208894141155</v>
      </c>
      <c r="I11" s="27">
        <f>+I10+376039.03</f>
        <v>815317.17</v>
      </c>
      <c r="J11" s="23"/>
      <c r="K11" s="1"/>
    </row>
    <row r="12" spans="2:12" x14ac:dyDescent="0.35">
      <c r="B12" s="43">
        <v>7</v>
      </c>
      <c r="C12" s="41" t="s">
        <v>25</v>
      </c>
      <c r="D12" s="27">
        <v>570167.59</v>
      </c>
      <c r="E12" s="27">
        <v>400197.5</v>
      </c>
      <c r="F12" s="65">
        <f t="shared" ref="F12:F31" si="2">+E12+D12</f>
        <v>970365.09</v>
      </c>
      <c r="G12" s="27">
        <f>+G11+F12</f>
        <v>2149364.34</v>
      </c>
      <c r="H12" s="66">
        <f t="shared" si="0"/>
        <v>40.107075026660475</v>
      </c>
      <c r="I12" s="27">
        <f>+I11+718769.77</f>
        <v>1534086.94</v>
      </c>
      <c r="J12" s="23"/>
      <c r="K12" s="1"/>
    </row>
    <row r="13" spans="2:12" x14ac:dyDescent="0.35">
      <c r="B13" s="43">
        <v>8</v>
      </c>
      <c r="C13" s="41" t="s">
        <v>26</v>
      </c>
      <c r="D13" s="27">
        <v>1091406.01</v>
      </c>
      <c r="E13" s="27">
        <v>0</v>
      </c>
      <c r="F13" s="65">
        <f t="shared" si="2"/>
        <v>1091406.01</v>
      </c>
      <c r="G13" s="27">
        <f t="shared" ref="G13:G14" si="3">+G12+F13</f>
        <v>3240770.3499999996</v>
      </c>
      <c r="H13" s="66">
        <f t="shared" si="0"/>
        <v>30.957374487837917</v>
      </c>
      <c r="I13" s="27">
        <v>2474675.7200000002</v>
      </c>
      <c r="J13" s="23"/>
      <c r="K13" s="1"/>
    </row>
    <row r="14" spans="2:12" x14ac:dyDescent="0.35">
      <c r="B14" s="43">
        <v>9</v>
      </c>
      <c r="C14" s="41" t="s">
        <v>27</v>
      </c>
      <c r="D14" s="27">
        <v>863298.01</v>
      </c>
      <c r="E14" s="27">
        <v>0</v>
      </c>
      <c r="F14" s="65">
        <f t="shared" si="2"/>
        <v>863298.01</v>
      </c>
      <c r="G14" s="67">
        <f t="shared" si="3"/>
        <v>4104068.3599999994</v>
      </c>
      <c r="H14" s="66">
        <f t="shared" si="0"/>
        <v>2.464846960077526</v>
      </c>
      <c r="I14" s="27">
        <f>+I13+1530667.07</f>
        <v>4005342.79</v>
      </c>
      <c r="J14" s="23"/>
      <c r="K14" s="1"/>
    </row>
    <row r="15" spans="2:12" hidden="1" x14ac:dyDescent="0.35">
      <c r="B15" s="11">
        <v>10</v>
      </c>
      <c r="C15" s="17" t="s">
        <v>50</v>
      </c>
      <c r="D15" s="25"/>
      <c r="E15" s="25"/>
      <c r="F15" s="26">
        <f t="shared" si="2"/>
        <v>0</v>
      </c>
      <c r="G15" s="25">
        <f t="shared" si="1"/>
        <v>4104068.3599999994</v>
      </c>
      <c r="H15" s="12">
        <v>0</v>
      </c>
      <c r="I15" s="27">
        <v>0</v>
      </c>
      <c r="J15" s="23"/>
      <c r="K15" s="1"/>
    </row>
    <row r="16" spans="2:12" hidden="1" x14ac:dyDescent="0.35">
      <c r="B16" s="11">
        <v>11</v>
      </c>
      <c r="C16" s="17" t="s">
        <v>28</v>
      </c>
      <c r="D16" s="25"/>
      <c r="E16" s="25"/>
      <c r="F16" s="26">
        <f t="shared" si="2"/>
        <v>0</v>
      </c>
      <c r="G16" s="25">
        <f t="shared" si="1"/>
        <v>4104068.3599999994</v>
      </c>
      <c r="H16" s="12">
        <v>0</v>
      </c>
      <c r="I16" s="27">
        <v>0</v>
      </c>
      <c r="J16" s="23"/>
      <c r="K16" s="1"/>
    </row>
    <row r="17" spans="2:11" hidden="1" x14ac:dyDescent="0.35">
      <c r="B17" s="11">
        <v>12</v>
      </c>
      <c r="C17" s="17" t="s">
        <v>29</v>
      </c>
      <c r="D17" s="25"/>
      <c r="E17" s="25"/>
      <c r="F17" s="26">
        <f t="shared" si="2"/>
        <v>0</v>
      </c>
      <c r="G17" s="25">
        <f t="shared" si="1"/>
        <v>4104068.3599999994</v>
      </c>
      <c r="H17" s="12">
        <v>0</v>
      </c>
      <c r="I17" s="27">
        <v>0</v>
      </c>
      <c r="J17" s="23"/>
      <c r="K17" s="1"/>
    </row>
    <row r="18" spans="2:11" hidden="1" x14ac:dyDescent="0.35">
      <c r="B18" s="11">
        <v>13</v>
      </c>
      <c r="C18" s="17" t="s">
        <v>30</v>
      </c>
      <c r="D18" s="25"/>
      <c r="E18" s="25"/>
      <c r="F18" s="26">
        <f t="shared" si="2"/>
        <v>0</v>
      </c>
      <c r="G18" s="25">
        <f t="shared" si="1"/>
        <v>4104068.3599999994</v>
      </c>
      <c r="H18" s="12">
        <v>0</v>
      </c>
      <c r="I18" s="27">
        <v>0</v>
      </c>
      <c r="J18" s="23"/>
      <c r="K18" s="1"/>
    </row>
    <row r="19" spans="2:11" hidden="1" x14ac:dyDescent="0.35">
      <c r="B19" s="11">
        <v>14</v>
      </c>
      <c r="C19" s="18" t="s">
        <v>31</v>
      </c>
      <c r="D19" s="25"/>
      <c r="E19" s="25"/>
      <c r="F19" s="26">
        <f t="shared" si="2"/>
        <v>0</v>
      </c>
      <c r="G19" s="25">
        <f t="shared" si="1"/>
        <v>4104068.3599999994</v>
      </c>
      <c r="H19" s="12">
        <v>0</v>
      </c>
      <c r="I19" s="27">
        <v>0</v>
      </c>
      <c r="J19" s="23"/>
      <c r="K19" s="1"/>
    </row>
    <row r="20" spans="2:11" hidden="1" x14ac:dyDescent="0.35">
      <c r="B20" s="11">
        <v>15</v>
      </c>
      <c r="C20" s="17" t="s">
        <v>32</v>
      </c>
      <c r="D20" s="25"/>
      <c r="E20" s="25"/>
      <c r="F20" s="26">
        <f t="shared" si="2"/>
        <v>0</v>
      </c>
      <c r="G20" s="25">
        <f t="shared" si="1"/>
        <v>4104068.3599999994</v>
      </c>
      <c r="H20" s="12">
        <v>0</v>
      </c>
      <c r="I20" s="27">
        <v>0</v>
      </c>
      <c r="J20" s="23"/>
      <c r="K20" s="1"/>
    </row>
    <row r="21" spans="2:11" hidden="1" x14ac:dyDescent="0.35">
      <c r="B21" s="11">
        <v>16</v>
      </c>
      <c r="C21" s="17" t="s">
        <v>33</v>
      </c>
      <c r="D21" s="25"/>
      <c r="E21" s="25"/>
      <c r="F21" s="26">
        <f t="shared" si="2"/>
        <v>0</v>
      </c>
      <c r="G21" s="25">
        <f t="shared" si="1"/>
        <v>4104068.3599999994</v>
      </c>
      <c r="H21" s="12">
        <v>0</v>
      </c>
      <c r="I21" s="27">
        <v>0</v>
      </c>
      <c r="J21" s="23"/>
      <c r="K21" s="1"/>
    </row>
    <row r="22" spans="2:11" hidden="1" x14ac:dyDescent="0.35">
      <c r="B22" s="11">
        <v>17</v>
      </c>
      <c r="C22" s="17" t="s">
        <v>34</v>
      </c>
      <c r="D22" s="25"/>
      <c r="E22" s="25"/>
      <c r="F22" s="26">
        <f t="shared" si="2"/>
        <v>0</v>
      </c>
      <c r="G22" s="25">
        <f t="shared" si="1"/>
        <v>4104068.3599999994</v>
      </c>
      <c r="H22" s="12">
        <v>0</v>
      </c>
      <c r="I22" s="27">
        <v>0</v>
      </c>
      <c r="J22" s="23"/>
      <c r="K22" s="1"/>
    </row>
    <row r="23" spans="2:11" hidden="1" x14ac:dyDescent="0.35">
      <c r="B23" s="11">
        <v>18</v>
      </c>
      <c r="C23" s="17" t="s">
        <v>35</v>
      </c>
      <c r="D23" s="25"/>
      <c r="E23" s="25"/>
      <c r="F23" s="26">
        <f t="shared" si="2"/>
        <v>0</v>
      </c>
      <c r="G23" s="25">
        <f t="shared" si="1"/>
        <v>4104068.3599999994</v>
      </c>
      <c r="H23" s="12">
        <v>0</v>
      </c>
      <c r="I23" s="27">
        <v>0</v>
      </c>
      <c r="J23" s="23"/>
      <c r="K23" s="1"/>
    </row>
    <row r="24" spans="2:11" hidden="1" x14ac:dyDescent="0.35">
      <c r="B24" s="11">
        <v>19</v>
      </c>
      <c r="C24" s="17" t="s">
        <v>36</v>
      </c>
      <c r="D24" s="25"/>
      <c r="E24" s="25"/>
      <c r="F24" s="26">
        <f t="shared" si="2"/>
        <v>0</v>
      </c>
      <c r="G24" s="25">
        <f t="shared" si="1"/>
        <v>4104068.3599999994</v>
      </c>
      <c r="H24" s="12">
        <v>0</v>
      </c>
      <c r="I24" s="27">
        <v>0</v>
      </c>
      <c r="J24" s="23"/>
      <c r="K24" s="1"/>
    </row>
    <row r="25" spans="2:11" hidden="1" x14ac:dyDescent="0.35">
      <c r="B25" s="11">
        <v>20</v>
      </c>
      <c r="C25" s="17" t="s">
        <v>37</v>
      </c>
      <c r="D25" s="25"/>
      <c r="E25" s="25"/>
      <c r="F25" s="26">
        <f t="shared" si="2"/>
        <v>0</v>
      </c>
      <c r="G25" s="25">
        <f t="shared" si="1"/>
        <v>4104068.3599999994</v>
      </c>
      <c r="H25" s="12">
        <v>0</v>
      </c>
      <c r="I25" s="27">
        <v>0</v>
      </c>
      <c r="J25" s="23"/>
      <c r="K25" s="1"/>
    </row>
    <row r="26" spans="2:11" hidden="1" x14ac:dyDescent="0.35">
      <c r="B26" s="11">
        <v>21</v>
      </c>
      <c r="C26" s="17" t="s">
        <v>38</v>
      </c>
      <c r="D26" s="25"/>
      <c r="E26" s="25"/>
      <c r="F26" s="26">
        <f t="shared" si="2"/>
        <v>0</v>
      </c>
      <c r="G26" s="25">
        <f t="shared" si="1"/>
        <v>4104068.3599999994</v>
      </c>
      <c r="H26" s="12">
        <v>0</v>
      </c>
      <c r="I26" s="27">
        <v>0</v>
      </c>
      <c r="J26" s="23"/>
      <c r="K26" s="1"/>
    </row>
    <row r="27" spans="2:11" hidden="1" x14ac:dyDescent="0.35">
      <c r="B27" s="11">
        <v>22</v>
      </c>
      <c r="C27" s="17" t="s">
        <v>39</v>
      </c>
      <c r="D27" s="25"/>
      <c r="E27" s="25"/>
      <c r="F27" s="26">
        <f t="shared" si="2"/>
        <v>0</v>
      </c>
      <c r="G27" s="25">
        <f t="shared" si="1"/>
        <v>4104068.3599999994</v>
      </c>
      <c r="H27" s="12">
        <v>0</v>
      </c>
      <c r="I27" s="27">
        <v>0</v>
      </c>
      <c r="J27" s="23"/>
      <c r="K27" s="1"/>
    </row>
    <row r="28" spans="2:11" hidden="1" x14ac:dyDescent="0.35">
      <c r="B28" s="11">
        <v>23</v>
      </c>
      <c r="C28" s="17" t="s">
        <v>40</v>
      </c>
      <c r="D28" s="25"/>
      <c r="E28" s="25"/>
      <c r="F28" s="26">
        <f t="shared" si="2"/>
        <v>0</v>
      </c>
      <c r="G28" s="25">
        <f t="shared" si="1"/>
        <v>4104068.3599999994</v>
      </c>
      <c r="H28" s="12">
        <v>0</v>
      </c>
      <c r="I28" s="27">
        <v>0</v>
      </c>
      <c r="J28" s="23"/>
      <c r="K28" s="1"/>
    </row>
    <row r="29" spans="2:11" hidden="1" x14ac:dyDescent="0.35">
      <c r="B29" s="11">
        <v>24</v>
      </c>
      <c r="C29" s="17" t="s">
        <v>41</v>
      </c>
      <c r="D29" s="25"/>
      <c r="E29" s="25"/>
      <c r="F29" s="26">
        <f t="shared" si="2"/>
        <v>0</v>
      </c>
      <c r="G29" s="25">
        <f t="shared" si="1"/>
        <v>4104068.3599999994</v>
      </c>
      <c r="H29" s="12">
        <v>0</v>
      </c>
      <c r="I29" s="27">
        <v>0</v>
      </c>
      <c r="J29" s="23"/>
      <c r="K29" s="1"/>
    </row>
    <row r="30" spans="2:11" hidden="1" x14ac:dyDescent="0.35">
      <c r="B30" s="11">
        <v>25</v>
      </c>
      <c r="C30" s="19" t="s">
        <v>42</v>
      </c>
      <c r="D30" s="25"/>
      <c r="E30" s="25"/>
      <c r="F30" s="26">
        <f t="shared" si="2"/>
        <v>0</v>
      </c>
      <c r="G30" s="25">
        <f t="shared" si="1"/>
        <v>4104068.3599999994</v>
      </c>
      <c r="H30" s="12">
        <v>0</v>
      </c>
      <c r="I30" s="27">
        <v>0</v>
      </c>
      <c r="J30" s="23"/>
      <c r="K30" s="1"/>
    </row>
    <row r="31" spans="2:11" hidden="1" x14ac:dyDescent="0.35">
      <c r="B31" s="29">
        <v>26</v>
      </c>
      <c r="C31" s="30" t="s">
        <v>43</v>
      </c>
      <c r="D31" s="31"/>
      <c r="E31" s="31"/>
      <c r="F31" s="32">
        <f t="shared" si="2"/>
        <v>0</v>
      </c>
      <c r="G31" s="31">
        <f t="shared" si="1"/>
        <v>4104068.3599999994</v>
      </c>
      <c r="H31" s="33">
        <v>0</v>
      </c>
      <c r="I31" s="34">
        <v>0</v>
      </c>
      <c r="J31" s="23"/>
      <c r="K31" s="1"/>
    </row>
    <row r="32" spans="2:11" x14ac:dyDescent="0.35">
      <c r="B32" s="5"/>
      <c r="C32" s="5"/>
      <c r="D32" s="6"/>
      <c r="E32" s="6"/>
      <c r="F32" s="6"/>
      <c r="G32" s="6"/>
      <c r="H32" s="7"/>
      <c r="I32" s="6"/>
      <c r="J32" s="5"/>
      <c r="K32" s="1"/>
    </row>
    <row r="33" spans="2:11" x14ac:dyDescent="0.35">
      <c r="B33" s="8" t="s">
        <v>44</v>
      </c>
      <c r="C33" s="5"/>
      <c r="D33" s="5"/>
      <c r="E33" s="5"/>
      <c r="F33" s="5"/>
      <c r="G33" s="5"/>
      <c r="H33" s="5"/>
      <c r="I33" s="5"/>
      <c r="J33" s="5"/>
      <c r="K33" s="1"/>
    </row>
    <row r="34" spans="2:11" x14ac:dyDescent="0.35">
      <c r="B34" s="9" t="s">
        <v>45</v>
      </c>
      <c r="C34" s="5"/>
      <c r="D34" s="5"/>
      <c r="E34" s="5"/>
      <c r="F34" s="5"/>
      <c r="G34" s="5"/>
      <c r="H34" s="5"/>
      <c r="I34" s="5"/>
      <c r="J34" s="5"/>
      <c r="K34" s="1"/>
    </row>
    <row r="35" spans="2:11" x14ac:dyDescent="0.35">
      <c r="B35" s="9" t="s">
        <v>46</v>
      </c>
      <c r="C35" s="5"/>
      <c r="D35" s="5"/>
      <c r="E35" s="5"/>
      <c r="F35" s="5"/>
      <c r="G35" s="5"/>
      <c r="H35" s="5"/>
      <c r="I35" s="5"/>
      <c r="J35" s="5"/>
      <c r="K35" s="1"/>
    </row>
    <row r="36" spans="2:11" x14ac:dyDescent="0.35">
      <c r="B36" s="9" t="s">
        <v>47</v>
      </c>
      <c r="C36" s="5"/>
      <c r="D36" s="5"/>
      <c r="E36" s="5"/>
      <c r="F36" s="5"/>
      <c r="G36" s="5"/>
      <c r="H36" s="5"/>
      <c r="I36" s="5"/>
      <c r="J36" s="5"/>
      <c r="K36" s="1"/>
    </row>
    <row r="37" spans="2:11" x14ac:dyDescent="0.35">
      <c r="B37" s="9"/>
      <c r="C37" s="5"/>
      <c r="D37" s="5"/>
      <c r="E37" s="5"/>
      <c r="F37" s="5"/>
      <c r="G37" s="5"/>
      <c r="H37" s="5"/>
      <c r="I37" s="5"/>
      <c r="J37" s="5"/>
      <c r="K37" s="1"/>
    </row>
    <row r="38" spans="2:11" x14ac:dyDescent="0.35">
      <c r="B38" s="9"/>
      <c r="C38" s="5"/>
      <c r="D38" s="5"/>
      <c r="E38" s="5"/>
      <c r="F38" s="5"/>
      <c r="G38" s="5"/>
      <c r="H38" s="5"/>
      <c r="I38" s="5"/>
      <c r="J38" s="5"/>
      <c r="K38" s="1"/>
    </row>
    <row r="39" spans="2:11" ht="18.5" x14ac:dyDescent="0.45">
      <c r="B39" s="10"/>
      <c r="C39" s="10"/>
      <c r="D39" s="163" t="s">
        <v>48</v>
      </c>
      <c r="E39" s="163"/>
      <c r="F39" s="163"/>
      <c r="G39" s="163"/>
      <c r="H39" s="163"/>
      <c r="I39" s="163"/>
      <c r="J39" s="10"/>
    </row>
    <row r="40" spans="2:11" s="38" customFormat="1" ht="16" x14ac:dyDescent="0.4">
      <c r="B40" s="28"/>
      <c r="C40" s="28"/>
      <c r="D40" s="164" t="s">
        <v>57</v>
      </c>
      <c r="E40" s="164"/>
      <c r="F40" s="164"/>
      <c r="G40" s="164"/>
      <c r="H40" s="164"/>
      <c r="I40" s="164"/>
      <c r="J40" s="28"/>
    </row>
    <row r="41" spans="2:11" ht="15.9" customHeight="1" x14ac:dyDescent="0.4">
      <c r="B41" s="124" t="s">
        <v>6</v>
      </c>
      <c r="C41" s="124"/>
      <c r="D41" s="124"/>
      <c r="E41" s="124"/>
      <c r="F41" s="124"/>
      <c r="G41" s="124"/>
      <c r="H41" s="124"/>
      <c r="I41" s="124"/>
      <c r="J41" s="124"/>
    </row>
    <row r="42" spans="2:11" ht="14.4" customHeight="1" x14ac:dyDescent="0.35">
      <c r="B42" s="15"/>
      <c r="C42" s="16"/>
      <c r="D42" s="148" t="s">
        <v>7</v>
      </c>
      <c r="E42" s="149"/>
      <c r="F42" s="149"/>
      <c r="G42" s="150"/>
      <c r="H42" s="151" t="s">
        <v>8</v>
      </c>
      <c r="I42" s="152"/>
      <c r="J42" s="4"/>
    </row>
    <row r="43" spans="2:11" x14ac:dyDescent="0.35">
      <c r="B43" s="13"/>
      <c r="C43" s="14"/>
      <c r="D43" s="155" t="s">
        <v>10</v>
      </c>
      <c r="E43" s="156"/>
      <c r="F43" s="156"/>
      <c r="G43" s="157"/>
      <c r="H43" s="153"/>
      <c r="I43" s="154"/>
      <c r="J43" s="4"/>
    </row>
    <row r="44" spans="2:11" ht="14.4" customHeight="1" x14ac:dyDescent="0.35">
      <c r="B44" s="128" t="s">
        <v>11</v>
      </c>
      <c r="C44" s="130" t="s">
        <v>12</v>
      </c>
      <c r="D44" s="20" t="s">
        <v>13</v>
      </c>
      <c r="E44" s="20" t="s">
        <v>14</v>
      </c>
      <c r="F44" s="20" t="s">
        <v>15</v>
      </c>
      <c r="G44" s="20" t="s">
        <v>16</v>
      </c>
      <c r="H44" s="158" t="s">
        <v>17</v>
      </c>
      <c r="I44" s="130" t="s">
        <v>18</v>
      </c>
      <c r="J44" s="21"/>
    </row>
    <row r="45" spans="2:11" ht="37.65" customHeight="1" x14ac:dyDescent="0.35">
      <c r="B45" s="129"/>
      <c r="C45" s="131"/>
      <c r="D45" s="160" t="s">
        <v>21</v>
      </c>
      <c r="E45" s="161"/>
      <c r="F45" s="161"/>
      <c r="G45" s="162"/>
      <c r="H45" s="159"/>
      <c r="I45" s="131"/>
      <c r="J45" s="21"/>
    </row>
    <row r="46" spans="2:11" x14ac:dyDescent="0.35">
      <c r="B46" s="43">
        <v>4</v>
      </c>
      <c r="C46" s="41" t="s">
        <v>22</v>
      </c>
      <c r="D46" s="22">
        <v>85624.69</v>
      </c>
      <c r="E46" s="22">
        <v>0</v>
      </c>
      <c r="F46" s="61">
        <f>+D46+E46</f>
        <v>85624.69</v>
      </c>
      <c r="G46" s="22">
        <f>+F46</f>
        <v>85624.69</v>
      </c>
      <c r="H46" s="62">
        <f t="shared" ref="H46:H51" si="4">((G46-I46)/I46)*100</f>
        <v>113.4906375445683</v>
      </c>
      <c r="I46" s="22">
        <v>40107</v>
      </c>
      <c r="J46" s="23"/>
    </row>
    <row r="47" spans="2:11" x14ac:dyDescent="0.35">
      <c r="B47" s="43">
        <v>5</v>
      </c>
      <c r="C47" s="41" t="s">
        <v>23</v>
      </c>
      <c r="D47" s="27">
        <v>101932</v>
      </c>
      <c r="E47" s="27">
        <v>0</v>
      </c>
      <c r="F47" s="65">
        <f>+E47+D47</f>
        <v>101932</v>
      </c>
      <c r="G47" s="27">
        <f>+G46+F47</f>
        <v>187556.69</v>
      </c>
      <c r="H47" s="66">
        <f t="shared" si="4"/>
        <v>-38.477690913759524</v>
      </c>
      <c r="I47" s="27">
        <f>+I46+264752.64</f>
        <v>304859.64</v>
      </c>
      <c r="J47" s="23"/>
    </row>
    <row r="48" spans="2:11" x14ac:dyDescent="0.35">
      <c r="B48" s="43">
        <v>6</v>
      </c>
      <c r="C48" s="41" t="s">
        <v>24</v>
      </c>
      <c r="D48" s="27">
        <v>796239</v>
      </c>
      <c r="E48" s="27">
        <v>0</v>
      </c>
      <c r="F48" s="65">
        <f>+E48+D48</f>
        <v>796239</v>
      </c>
      <c r="G48" s="27">
        <f t="shared" ref="G48" si="5">+G47+F48</f>
        <v>983795.69</v>
      </c>
      <c r="H48" s="66">
        <f t="shared" si="4"/>
        <v>55.82718781031334</v>
      </c>
      <c r="I48" s="27">
        <f>+I47+326478</f>
        <v>631337.64</v>
      </c>
      <c r="J48" s="23"/>
    </row>
    <row r="49" spans="2:10" x14ac:dyDescent="0.35">
      <c r="B49" s="43">
        <v>7</v>
      </c>
      <c r="C49" s="41" t="s">
        <v>25</v>
      </c>
      <c r="D49" s="27">
        <v>444149.01</v>
      </c>
      <c r="E49" s="27">
        <v>400197.5</v>
      </c>
      <c r="F49" s="65">
        <f t="shared" ref="F49:F68" si="6">+E49+D49</f>
        <v>844346.51</v>
      </c>
      <c r="G49" s="27">
        <f>+G48+F49</f>
        <v>1828142.2</v>
      </c>
      <c r="H49" s="66">
        <f t="shared" si="4"/>
        <v>43.458818123120786</v>
      </c>
      <c r="I49" s="27">
        <f>+I48+642994.76</f>
        <v>1274332.3999999999</v>
      </c>
      <c r="J49" s="23"/>
    </row>
    <row r="50" spans="2:10" x14ac:dyDescent="0.35">
      <c r="B50" s="43">
        <v>8</v>
      </c>
      <c r="C50" s="41" t="s">
        <v>26</v>
      </c>
      <c r="D50" s="27">
        <v>1015927.5</v>
      </c>
      <c r="E50" s="27">
        <v>0</v>
      </c>
      <c r="F50" s="65">
        <f t="shared" si="6"/>
        <v>1015927.5</v>
      </c>
      <c r="G50" s="27">
        <f t="shared" ref="G50:G51" si="7">+G49+F50</f>
        <v>2844069.7</v>
      </c>
      <c r="H50" s="66">
        <f t="shared" si="4"/>
        <v>34.460849437489699</v>
      </c>
      <c r="I50" s="27">
        <v>2115165.65</v>
      </c>
      <c r="J50" s="23"/>
    </row>
    <row r="51" spans="2:10" x14ac:dyDescent="0.35">
      <c r="B51" s="43">
        <v>9</v>
      </c>
      <c r="C51" s="41" t="s">
        <v>27</v>
      </c>
      <c r="D51" s="27">
        <v>740476</v>
      </c>
      <c r="E51" s="27">
        <v>0</v>
      </c>
      <c r="F51" s="65">
        <f t="shared" si="6"/>
        <v>740476</v>
      </c>
      <c r="G51" s="68">
        <f t="shared" si="7"/>
        <v>3584545.7</v>
      </c>
      <c r="H51" s="66">
        <f t="shared" si="4"/>
        <v>0.90225309423674138</v>
      </c>
      <c r="I51" s="27">
        <f>+I50+1437327.57</f>
        <v>3552493.2199999997</v>
      </c>
      <c r="J51" s="23"/>
    </row>
    <row r="52" spans="2:10" hidden="1" x14ac:dyDescent="0.35">
      <c r="B52" s="11">
        <v>10</v>
      </c>
      <c r="C52" s="17" t="s">
        <v>50</v>
      </c>
      <c r="D52" s="25"/>
      <c r="E52" s="25"/>
      <c r="F52" s="26">
        <f t="shared" si="6"/>
        <v>0</v>
      </c>
      <c r="G52" s="25">
        <f t="shared" ref="G52:G68" si="8">+G51+F52</f>
        <v>3584545.7</v>
      </c>
      <c r="H52" s="12">
        <v>0</v>
      </c>
      <c r="I52" s="27">
        <v>0</v>
      </c>
      <c r="J52" s="23"/>
    </row>
    <row r="53" spans="2:10" hidden="1" x14ac:dyDescent="0.35">
      <c r="B53" s="11">
        <v>11</v>
      </c>
      <c r="C53" s="17" t="s">
        <v>28</v>
      </c>
      <c r="D53" s="25"/>
      <c r="E53" s="25"/>
      <c r="F53" s="26">
        <f t="shared" si="6"/>
        <v>0</v>
      </c>
      <c r="G53" s="25">
        <f t="shared" si="8"/>
        <v>3584545.7</v>
      </c>
      <c r="H53" s="12">
        <v>0</v>
      </c>
      <c r="I53" s="27">
        <v>0</v>
      </c>
      <c r="J53" s="23"/>
    </row>
    <row r="54" spans="2:10" hidden="1" x14ac:dyDescent="0.35">
      <c r="B54" s="11">
        <v>12</v>
      </c>
      <c r="C54" s="17" t="s">
        <v>29</v>
      </c>
      <c r="D54" s="25"/>
      <c r="E54" s="25"/>
      <c r="F54" s="26">
        <f t="shared" si="6"/>
        <v>0</v>
      </c>
      <c r="G54" s="25">
        <f t="shared" si="8"/>
        <v>3584545.7</v>
      </c>
      <c r="H54" s="12">
        <v>0</v>
      </c>
      <c r="I54" s="27">
        <v>0</v>
      </c>
      <c r="J54" s="23"/>
    </row>
    <row r="55" spans="2:10" hidden="1" x14ac:dyDescent="0.35">
      <c r="B55" s="11">
        <v>13</v>
      </c>
      <c r="C55" s="17" t="s">
        <v>30</v>
      </c>
      <c r="D55" s="25"/>
      <c r="E55" s="25"/>
      <c r="F55" s="26">
        <f t="shared" si="6"/>
        <v>0</v>
      </c>
      <c r="G55" s="25">
        <f t="shared" si="8"/>
        <v>3584545.7</v>
      </c>
      <c r="H55" s="12">
        <v>0</v>
      </c>
      <c r="I55" s="27">
        <v>0</v>
      </c>
      <c r="J55" s="23"/>
    </row>
    <row r="56" spans="2:10" hidden="1" x14ac:dyDescent="0.35">
      <c r="B56" s="11">
        <v>14</v>
      </c>
      <c r="C56" s="18" t="s">
        <v>31</v>
      </c>
      <c r="D56" s="25"/>
      <c r="E56" s="25"/>
      <c r="F56" s="26">
        <f t="shared" si="6"/>
        <v>0</v>
      </c>
      <c r="G56" s="25">
        <f t="shared" si="8"/>
        <v>3584545.7</v>
      </c>
      <c r="H56" s="12">
        <v>0</v>
      </c>
      <c r="I56" s="27">
        <v>0</v>
      </c>
      <c r="J56" s="23"/>
    </row>
    <row r="57" spans="2:10" hidden="1" x14ac:dyDescent="0.35">
      <c r="B57" s="11">
        <v>15</v>
      </c>
      <c r="C57" s="17" t="s">
        <v>32</v>
      </c>
      <c r="D57" s="25"/>
      <c r="E57" s="25"/>
      <c r="F57" s="26">
        <f t="shared" si="6"/>
        <v>0</v>
      </c>
      <c r="G57" s="25">
        <f t="shared" si="8"/>
        <v>3584545.7</v>
      </c>
      <c r="H57" s="12">
        <v>0</v>
      </c>
      <c r="I57" s="27">
        <v>0</v>
      </c>
      <c r="J57" s="23"/>
    </row>
    <row r="58" spans="2:10" hidden="1" x14ac:dyDescent="0.35">
      <c r="B58" s="11">
        <v>16</v>
      </c>
      <c r="C58" s="17" t="s">
        <v>33</v>
      </c>
      <c r="D58" s="25"/>
      <c r="E58" s="25"/>
      <c r="F58" s="26">
        <f t="shared" si="6"/>
        <v>0</v>
      </c>
      <c r="G58" s="25">
        <f t="shared" si="8"/>
        <v>3584545.7</v>
      </c>
      <c r="H58" s="12">
        <v>0</v>
      </c>
      <c r="I58" s="27">
        <v>0</v>
      </c>
      <c r="J58" s="23"/>
    </row>
    <row r="59" spans="2:10" hidden="1" x14ac:dyDescent="0.35">
      <c r="B59" s="11">
        <v>17</v>
      </c>
      <c r="C59" s="17" t="s">
        <v>34</v>
      </c>
      <c r="D59" s="25"/>
      <c r="E59" s="25"/>
      <c r="F59" s="26">
        <f t="shared" si="6"/>
        <v>0</v>
      </c>
      <c r="G59" s="25">
        <f t="shared" si="8"/>
        <v>3584545.7</v>
      </c>
      <c r="H59" s="12">
        <v>0</v>
      </c>
      <c r="I59" s="27">
        <v>0</v>
      </c>
      <c r="J59" s="23"/>
    </row>
    <row r="60" spans="2:10" hidden="1" x14ac:dyDescent="0.35">
      <c r="B60" s="11">
        <v>18</v>
      </c>
      <c r="C60" s="17" t="s">
        <v>35</v>
      </c>
      <c r="D60" s="25"/>
      <c r="E60" s="25"/>
      <c r="F60" s="26">
        <f t="shared" si="6"/>
        <v>0</v>
      </c>
      <c r="G60" s="25">
        <f t="shared" si="8"/>
        <v>3584545.7</v>
      </c>
      <c r="H60" s="12">
        <v>0</v>
      </c>
      <c r="I60" s="27">
        <v>0</v>
      </c>
      <c r="J60" s="23"/>
    </row>
    <row r="61" spans="2:10" hidden="1" x14ac:dyDescent="0.35">
      <c r="B61" s="11">
        <v>19</v>
      </c>
      <c r="C61" s="17" t="s">
        <v>36</v>
      </c>
      <c r="D61" s="25"/>
      <c r="E61" s="25"/>
      <c r="F61" s="26">
        <f t="shared" si="6"/>
        <v>0</v>
      </c>
      <c r="G61" s="25">
        <f t="shared" si="8"/>
        <v>3584545.7</v>
      </c>
      <c r="H61" s="12">
        <v>0</v>
      </c>
      <c r="I61" s="27">
        <v>0</v>
      </c>
      <c r="J61" s="23"/>
    </row>
    <row r="62" spans="2:10" hidden="1" x14ac:dyDescent="0.35">
      <c r="B62" s="11">
        <v>20</v>
      </c>
      <c r="C62" s="17" t="s">
        <v>37</v>
      </c>
      <c r="D62" s="25"/>
      <c r="E62" s="25"/>
      <c r="F62" s="26">
        <f t="shared" si="6"/>
        <v>0</v>
      </c>
      <c r="G62" s="25">
        <f t="shared" si="8"/>
        <v>3584545.7</v>
      </c>
      <c r="H62" s="12">
        <v>0</v>
      </c>
      <c r="I62" s="27">
        <v>0</v>
      </c>
      <c r="J62" s="23"/>
    </row>
    <row r="63" spans="2:10" hidden="1" x14ac:dyDescent="0.35">
      <c r="B63" s="11">
        <v>21</v>
      </c>
      <c r="C63" s="17" t="s">
        <v>38</v>
      </c>
      <c r="D63" s="25"/>
      <c r="E63" s="25"/>
      <c r="F63" s="26">
        <f t="shared" si="6"/>
        <v>0</v>
      </c>
      <c r="G63" s="25">
        <f t="shared" si="8"/>
        <v>3584545.7</v>
      </c>
      <c r="H63" s="12">
        <v>0</v>
      </c>
      <c r="I63" s="27">
        <v>0</v>
      </c>
      <c r="J63" s="23"/>
    </row>
    <row r="64" spans="2:10" hidden="1" x14ac:dyDescent="0.35">
      <c r="B64" s="11">
        <v>22</v>
      </c>
      <c r="C64" s="17" t="s">
        <v>39</v>
      </c>
      <c r="D64" s="25"/>
      <c r="E64" s="25"/>
      <c r="F64" s="26">
        <f t="shared" si="6"/>
        <v>0</v>
      </c>
      <c r="G64" s="25">
        <f t="shared" si="8"/>
        <v>3584545.7</v>
      </c>
      <c r="H64" s="12">
        <v>0</v>
      </c>
      <c r="I64" s="27">
        <v>0</v>
      </c>
      <c r="J64" s="23"/>
    </row>
    <row r="65" spans="2:10" hidden="1" x14ac:dyDescent="0.35">
      <c r="B65" s="11">
        <v>23</v>
      </c>
      <c r="C65" s="17" t="s">
        <v>40</v>
      </c>
      <c r="D65" s="25"/>
      <c r="E65" s="25"/>
      <c r="F65" s="26">
        <f t="shared" si="6"/>
        <v>0</v>
      </c>
      <c r="G65" s="25">
        <f t="shared" si="8"/>
        <v>3584545.7</v>
      </c>
      <c r="H65" s="12">
        <v>0</v>
      </c>
      <c r="I65" s="27">
        <v>0</v>
      </c>
      <c r="J65" s="23"/>
    </row>
    <row r="66" spans="2:10" hidden="1" x14ac:dyDescent="0.35">
      <c r="B66" s="11">
        <v>24</v>
      </c>
      <c r="C66" s="17" t="s">
        <v>41</v>
      </c>
      <c r="D66" s="25"/>
      <c r="E66" s="25"/>
      <c r="F66" s="26">
        <f t="shared" si="6"/>
        <v>0</v>
      </c>
      <c r="G66" s="25">
        <f t="shared" si="8"/>
        <v>3584545.7</v>
      </c>
      <c r="H66" s="12">
        <v>0</v>
      </c>
      <c r="I66" s="27">
        <v>0</v>
      </c>
      <c r="J66" s="23"/>
    </row>
    <row r="67" spans="2:10" hidden="1" x14ac:dyDescent="0.35">
      <c r="B67" s="11">
        <v>25</v>
      </c>
      <c r="C67" s="19" t="s">
        <v>42</v>
      </c>
      <c r="D67" s="25"/>
      <c r="E67" s="25"/>
      <c r="F67" s="26">
        <f t="shared" si="6"/>
        <v>0</v>
      </c>
      <c r="G67" s="25">
        <f t="shared" si="8"/>
        <v>3584545.7</v>
      </c>
      <c r="H67" s="12">
        <v>0</v>
      </c>
      <c r="I67" s="27">
        <v>0</v>
      </c>
      <c r="J67" s="23"/>
    </row>
    <row r="68" spans="2:10" hidden="1" x14ac:dyDescent="0.35">
      <c r="B68" s="29">
        <v>26</v>
      </c>
      <c r="C68" s="30" t="s">
        <v>43</v>
      </c>
      <c r="D68" s="31"/>
      <c r="E68" s="31"/>
      <c r="F68" s="32">
        <f t="shared" si="6"/>
        <v>0</v>
      </c>
      <c r="G68" s="31">
        <f t="shared" si="8"/>
        <v>3584545.7</v>
      </c>
      <c r="H68" s="33">
        <v>0</v>
      </c>
      <c r="I68" s="34">
        <v>0</v>
      </c>
      <c r="J68" s="23"/>
    </row>
    <row r="69" spans="2:10" x14ac:dyDescent="0.35">
      <c r="B69" s="5"/>
      <c r="C69" s="5"/>
      <c r="D69" s="6"/>
      <c r="E69" s="6"/>
      <c r="F69" s="6"/>
      <c r="G69" s="6"/>
      <c r="H69" s="7"/>
      <c r="I69" s="6"/>
      <c r="J69" s="5"/>
    </row>
    <row r="70" spans="2:10" x14ac:dyDescent="0.35">
      <c r="B70" s="8" t="s">
        <v>44</v>
      </c>
      <c r="C70" s="5"/>
      <c r="D70" s="5"/>
      <c r="E70" s="5"/>
      <c r="F70" s="5"/>
      <c r="G70" s="5"/>
      <c r="H70" s="5"/>
      <c r="I70" s="5"/>
      <c r="J70" s="5"/>
    </row>
    <row r="71" spans="2:10" x14ac:dyDescent="0.35">
      <c r="B71" s="9" t="s">
        <v>45</v>
      </c>
      <c r="C71" s="5"/>
      <c r="D71" s="5"/>
      <c r="E71" s="5"/>
      <c r="F71" s="5"/>
      <c r="G71" s="5"/>
      <c r="H71" s="5"/>
      <c r="I71" s="5"/>
      <c r="J71" s="5"/>
    </row>
    <row r="72" spans="2:10" x14ac:dyDescent="0.35">
      <c r="B72" s="9" t="s">
        <v>46</v>
      </c>
      <c r="C72" s="5"/>
      <c r="D72" s="5"/>
      <c r="E72" s="5"/>
      <c r="F72" s="5"/>
      <c r="G72" s="5"/>
      <c r="H72" s="5"/>
      <c r="I72" s="5"/>
      <c r="J72" s="5"/>
    </row>
    <row r="73" spans="2:10" x14ac:dyDescent="0.35">
      <c r="B73" s="9" t="s">
        <v>47</v>
      </c>
      <c r="C73" s="5"/>
      <c r="D73" s="5"/>
      <c r="E73" s="5"/>
      <c r="F73" s="5"/>
      <c r="G73" s="5"/>
      <c r="H73" s="5"/>
      <c r="I73" s="5"/>
      <c r="J73" s="5"/>
    </row>
    <row r="74" spans="2:10" x14ac:dyDescent="0.35">
      <c r="B74" s="10"/>
      <c r="C74" s="10"/>
      <c r="D74" s="10"/>
      <c r="E74" s="10"/>
      <c r="F74" s="10"/>
      <c r="G74" s="10"/>
      <c r="H74" s="10"/>
      <c r="I74" s="10"/>
      <c r="J74" s="10"/>
    </row>
    <row r="75" spans="2:10" x14ac:dyDescent="0.35">
      <c r="B75" s="10"/>
      <c r="C75" s="10"/>
      <c r="D75" s="10"/>
      <c r="E75" s="10"/>
      <c r="F75" s="10"/>
      <c r="G75" s="10"/>
      <c r="H75" s="10"/>
      <c r="I75" s="10"/>
      <c r="J75" s="10"/>
    </row>
    <row r="76" spans="2:10" ht="18.5" x14ac:dyDescent="0.45">
      <c r="B76" s="10"/>
      <c r="C76" s="10"/>
      <c r="D76" s="165" t="s">
        <v>51</v>
      </c>
      <c r="E76" s="165"/>
      <c r="F76" s="165"/>
      <c r="G76" s="165"/>
      <c r="H76" s="165"/>
      <c r="I76" s="165"/>
      <c r="J76" s="10"/>
    </row>
    <row r="77" spans="2:10" s="38" customFormat="1" ht="16" x14ac:dyDescent="0.4">
      <c r="B77" s="28"/>
      <c r="C77" s="28"/>
      <c r="D77" s="166" t="s">
        <v>57</v>
      </c>
      <c r="E77" s="166"/>
      <c r="F77" s="166"/>
      <c r="G77" s="166"/>
      <c r="H77" s="166"/>
      <c r="I77" s="166"/>
      <c r="J77" s="28"/>
    </row>
    <row r="78" spans="2:10" ht="15.9" customHeight="1" x14ac:dyDescent="0.4">
      <c r="B78" s="124" t="s">
        <v>6</v>
      </c>
      <c r="C78" s="124"/>
      <c r="D78" s="124"/>
      <c r="E78" s="124"/>
      <c r="F78" s="124"/>
      <c r="G78" s="124"/>
      <c r="H78" s="124"/>
      <c r="I78" s="124"/>
      <c r="J78" s="124"/>
    </row>
    <row r="79" spans="2:10" ht="14.4" customHeight="1" x14ac:dyDescent="0.35">
      <c r="B79" s="15"/>
      <c r="C79" s="16"/>
      <c r="D79" s="148" t="s">
        <v>7</v>
      </c>
      <c r="E79" s="149"/>
      <c r="F79" s="149"/>
      <c r="G79" s="150"/>
      <c r="H79" s="151" t="s">
        <v>8</v>
      </c>
      <c r="I79" s="152"/>
      <c r="J79" s="4"/>
    </row>
    <row r="80" spans="2:10" x14ac:dyDescent="0.35">
      <c r="B80" s="13"/>
      <c r="C80" s="14"/>
      <c r="D80" s="155" t="s">
        <v>10</v>
      </c>
      <c r="E80" s="156"/>
      <c r="F80" s="156"/>
      <c r="G80" s="157"/>
      <c r="H80" s="153"/>
      <c r="I80" s="154"/>
      <c r="J80" s="4"/>
    </row>
    <row r="81" spans="2:10" ht="14.4" customHeight="1" x14ac:dyDescent="0.35">
      <c r="B81" s="128" t="s">
        <v>11</v>
      </c>
      <c r="C81" s="130" t="s">
        <v>12</v>
      </c>
      <c r="D81" s="20" t="s">
        <v>13</v>
      </c>
      <c r="E81" s="20" t="s">
        <v>14</v>
      </c>
      <c r="F81" s="20" t="s">
        <v>15</v>
      </c>
      <c r="G81" s="20" t="s">
        <v>16</v>
      </c>
      <c r="H81" s="158" t="s">
        <v>17</v>
      </c>
      <c r="I81" s="130" t="s">
        <v>18</v>
      </c>
      <c r="J81" s="21"/>
    </row>
    <row r="82" spans="2:10" ht="37.65" customHeight="1" x14ac:dyDescent="0.35">
      <c r="B82" s="129"/>
      <c r="C82" s="131"/>
      <c r="D82" s="160" t="s">
        <v>21</v>
      </c>
      <c r="E82" s="161"/>
      <c r="F82" s="161"/>
      <c r="G82" s="162"/>
      <c r="H82" s="159"/>
      <c r="I82" s="131"/>
      <c r="J82" s="21"/>
    </row>
    <row r="83" spans="2:10" x14ac:dyDescent="0.35">
      <c r="B83" s="43">
        <v>4</v>
      </c>
      <c r="C83" s="41" t="s">
        <v>22</v>
      </c>
      <c r="D83" s="22">
        <v>0</v>
      </c>
      <c r="E83" s="22">
        <v>0</v>
      </c>
      <c r="F83" s="61">
        <f>+D83+E83</f>
        <v>0</v>
      </c>
      <c r="G83" s="22">
        <f>+F83</f>
        <v>0</v>
      </c>
      <c r="H83" s="62" t="e">
        <f t="shared" ref="H83:H87" si="9">((G83-I83)/I83)*100</f>
        <v>#DIV/0!</v>
      </c>
      <c r="I83" s="22">
        <v>0</v>
      </c>
      <c r="J83" s="23"/>
    </row>
    <row r="84" spans="2:10" x14ac:dyDescent="0.35">
      <c r="B84" s="43">
        <v>5</v>
      </c>
      <c r="C84" s="41" t="s">
        <v>23</v>
      </c>
      <c r="D84" s="27">
        <v>0</v>
      </c>
      <c r="E84" s="27">
        <v>0</v>
      </c>
      <c r="F84" s="65">
        <f>+E84+D84</f>
        <v>0</v>
      </c>
      <c r="G84" s="27">
        <f>+G83+F84</f>
        <v>0</v>
      </c>
      <c r="H84" s="66" t="e">
        <f t="shared" si="9"/>
        <v>#DIV/0!</v>
      </c>
      <c r="I84" s="27">
        <v>0</v>
      </c>
      <c r="J84" s="23"/>
    </row>
    <row r="85" spans="2:10" x14ac:dyDescent="0.35">
      <c r="B85" s="43">
        <v>6</v>
      </c>
      <c r="C85" s="41" t="s">
        <v>24</v>
      </c>
      <c r="D85" s="27">
        <v>0</v>
      </c>
      <c r="E85" s="27">
        <v>0</v>
      </c>
      <c r="F85" s="65">
        <f>+E85+D85</f>
        <v>0</v>
      </c>
      <c r="G85" s="27">
        <f t="shared" ref="G85" si="10">+G84+F85</f>
        <v>0</v>
      </c>
      <c r="H85" s="66" t="e">
        <f t="shared" si="9"/>
        <v>#DIV/0!</v>
      </c>
      <c r="I85" s="27">
        <v>0</v>
      </c>
      <c r="J85" s="23"/>
    </row>
    <row r="86" spans="2:10" x14ac:dyDescent="0.35">
      <c r="B86" s="43">
        <v>7</v>
      </c>
      <c r="C86" s="41" t="s">
        <v>25</v>
      </c>
      <c r="D86" s="27">
        <v>0</v>
      </c>
      <c r="E86" s="27">
        <v>0</v>
      </c>
      <c r="F86" s="65">
        <f t="shared" ref="F86:F105" si="11">+E86+D86</f>
        <v>0</v>
      </c>
      <c r="G86" s="27">
        <f>+G85+F86</f>
        <v>0</v>
      </c>
      <c r="H86" s="66" t="e">
        <f t="shared" si="9"/>
        <v>#DIV/0!</v>
      </c>
      <c r="I86" s="27">
        <v>0</v>
      </c>
      <c r="J86" s="23"/>
    </row>
    <row r="87" spans="2:10" x14ac:dyDescent="0.35">
      <c r="B87" s="43">
        <v>8</v>
      </c>
      <c r="C87" s="41" t="s">
        <v>26</v>
      </c>
      <c r="D87" s="27">
        <v>0</v>
      </c>
      <c r="E87" s="27">
        <v>0</v>
      </c>
      <c r="F87" s="65">
        <f t="shared" si="11"/>
        <v>0</v>
      </c>
      <c r="G87" s="27">
        <f t="shared" ref="G87:G88" si="12">+G86+F87</f>
        <v>0</v>
      </c>
      <c r="H87" s="66" t="e">
        <f t="shared" si="9"/>
        <v>#DIV/0!</v>
      </c>
      <c r="I87" s="27">
        <v>0</v>
      </c>
      <c r="J87" s="23"/>
    </row>
    <row r="88" spans="2:10" x14ac:dyDescent="0.35">
      <c r="B88" s="43">
        <v>9</v>
      </c>
      <c r="C88" s="41" t="s">
        <v>27</v>
      </c>
      <c r="D88" s="27">
        <v>0</v>
      </c>
      <c r="E88" s="27">
        <v>0</v>
      </c>
      <c r="F88" s="65">
        <f t="shared" si="11"/>
        <v>0</v>
      </c>
      <c r="G88" s="69">
        <f t="shared" si="12"/>
        <v>0</v>
      </c>
      <c r="H88" s="12" t="e">
        <f>+H87</f>
        <v>#DIV/0!</v>
      </c>
      <c r="I88" s="27">
        <v>0</v>
      </c>
      <c r="J88" s="23"/>
    </row>
    <row r="89" spans="2:10" hidden="1" x14ac:dyDescent="0.35">
      <c r="B89" s="11">
        <v>10</v>
      </c>
      <c r="C89" s="17" t="s">
        <v>50</v>
      </c>
      <c r="D89" s="25"/>
      <c r="E89" s="25"/>
      <c r="F89" s="26">
        <f t="shared" si="11"/>
        <v>0</v>
      </c>
      <c r="G89" s="25">
        <f t="shared" ref="G89:G105" si="13">+G88+F89</f>
        <v>0</v>
      </c>
      <c r="H89" s="12">
        <v>0</v>
      </c>
      <c r="I89" s="27">
        <v>0</v>
      </c>
      <c r="J89" s="23"/>
    </row>
    <row r="90" spans="2:10" hidden="1" x14ac:dyDescent="0.35">
      <c r="B90" s="11">
        <v>11</v>
      </c>
      <c r="C90" s="17" t="s">
        <v>28</v>
      </c>
      <c r="D90" s="25"/>
      <c r="E90" s="25"/>
      <c r="F90" s="26">
        <f t="shared" si="11"/>
        <v>0</v>
      </c>
      <c r="G90" s="25">
        <f t="shared" si="13"/>
        <v>0</v>
      </c>
      <c r="H90" s="12">
        <v>0</v>
      </c>
      <c r="I90" s="27">
        <v>0</v>
      </c>
      <c r="J90" s="23"/>
    </row>
    <row r="91" spans="2:10" hidden="1" x14ac:dyDescent="0.35">
      <c r="B91" s="11">
        <v>12</v>
      </c>
      <c r="C91" s="17" t="s">
        <v>29</v>
      </c>
      <c r="D91" s="25"/>
      <c r="E91" s="25"/>
      <c r="F91" s="26">
        <f t="shared" si="11"/>
        <v>0</v>
      </c>
      <c r="G91" s="25">
        <f t="shared" si="13"/>
        <v>0</v>
      </c>
      <c r="H91" s="12">
        <v>0</v>
      </c>
      <c r="I91" s="27">
        <v>0</v>
      </c>
      <c r="J91" s="23"/>
    </row>
    <row r="92" spans="2:10" hidden="1" x14ac:dyDescent="0.35">
      <c r="B92" s="11">
        <v>13</v>
      </c>
      <c r="C92" s="17" t="s">
        <v>30</v>
      </c>
      <c r="D92" s="25"/>
      <c r="E92" s="25"/>
      <c r="F92" s="26">
        <f t="shared" si="11"/>
        <v>0</v>
      </c>
      <c r="G92" s="25">
        <f t="shared" si="13"/>
        <v>0</v>
      </c>
      <c r="H92" s="12">
        <v>0</v>
      </c>
      <c r="I92" s="27">
        <v>0</v>
      </c>
      <c r="J92" s="23"/>
    </row>
    <row r="93" spans="2:10" hidden="1" x14ac:dyDescent="0.35">
      <c r="B93" s="11">
        <v>14</v>
      </c>
      <c r="C93" s="18" t="s">
        <v>31</v>
      </c>
      <c r="D93" s="25"/>
      <c r="E93" s="25"/>
      <c r="F93" s="26">
        <f t="shared" si="11"/>
        <v>0</v>
      </c>
      <c r="G93" s="25">
        <f t="shared" si="13"/>
        <v>0</v>
      </c>
      <c r="H93" s="12">
        <v>0</v>
      </c>
      <c r="I93" s="27">
        <v>0</v>
      </c>
      <c r="J93" s="23"/>
    </row>
    <row r="94" spans="2:10" hidden="1" x14ac:dyDescent="0.35">
      <c r="B94" s="11">
        <v>15</v>
      </c>
      <c r="C94" s="17" t="s">
        <v>32</v>
      </c>
      <c r="D94" s="25"/>
      <c r="E94" s="25"/>
      <c r="F94" s="26">
        <f t="shared" si="11"/>
        <v>0</v>
      </c>
      <c r="G94" s="25">
        <f t="shared" si="13"/>
        <v>0</v>
      </c>
      <c r="H94" s="12">
        <v>0</v>
      </c>
      <c r="I94" s="27">
        <v>0</v>
      </c>
      <c r="J94" s="23"/>
    </row>
    <row r="95" spans="2:10" hidden="1" x14ac:dyDescent="0.35">
      <c r="B95" s="11">
        <v>16</v>
      </c>
      <c r="C95" s="17" t="s">
        <v>33</v>
      </c>
      <c r="D95" s="25"/>
      <c r="E95" s="25"/>
      <c r="F95" s="26">
        <f t="shared" si="11"/>
        <v>0</v>
      </c>
      <c r="G95" s="25">
        <f t="shared" si="13"/>
        <v>0</v>
      </c>
      <c r="H95" s="12">
        <v>0</v>
      </c>
      <c r="I95" s="27">
        <v>0</v>
      </c>
      <c r="J95" s="23"/>
    </row>
    <row r="96" spans="2:10" hidden="1" x14ac:dyDescent="0.35">
      <c r="B96" s="11">
        <v>17</v>
      </c>
      <c r="C96" s="17" t="s">
        <v>34</v>
      </c>
      <c r="D96" s="25"/>
      <c r="E96" s="25"/>
      <c r="F96" s="26">
        <f t="shared" si="11"/>
        <v>0</v>
      </c>
      <c r="G96" s="25">
        <f t="shared" si="13"/>
        <v>0</v>
      </c>
      <c r="H96" s="12">
        <v>0</v>
      </c>
      <c r="I96" s="27">
        <v>0</v>
      </c>
      <c r="J96" s="23"/>
    </row>
    <row r="97" spans="2:10" hidden="1" x14ac:dyDescent="0.35">
      <c r="B97" s="11">
        <v>18</v>
      </c>
      <c r="C97" s="17" t="s">
        <v>35</v>
      </c>
      <c r="D97" s="25"/>
      <c r="E97" s="25"/>
      <c r="F97" s="26">
        <f t="shared" si="11"/>
        <v>0</v>
      </c>
      <c r="G97" s="25">
        <f t="shared" si="13"/>
        <v>0</v>
      </c>
      <c r="H97" s="12">
        <v>0</v>
      </c>
      <c r="I97" s="27">
        <v>0</v>
      </c>
      <c r="J97" s="23"/>
    </row>
    <row r="98" spans="2:10" hidden="1" x14ac:dyDescent="0.35">
      <c r="B98" s="11">
        <v>19</v>
      </c>
      <c r="C98" s="17" t="s">
        <v>36</v>
      </c>
      <c r="D98" s="25"/>
      <c r="E98" s="25"/>
      <c r="F98" s="26">
        <f t="shared" si="11"/>
        <v>0</v>
      </c>
      <c r="G98" s="25">
        <f t="shared" si="13"/>
        <v>0</v>
      </c>
      <c r="H98" s="12">
        <v>0</v>
      </c>
      <c r="I98" s="27">
        <v>0</v>
      </c>
      <c r="J98" s="23"/>
    </row>
    <row r="99" spans="2:10" hidden="1" x14ac:dyDescent="0.35">
      <c r="B99" s="11">
        <v>20</v>
      </c>
      <c r="C99" s="17" t="s">
        <v>37</v>
      </c>
      <c r="D99" s="25"/>
      <c r="E99" s="25"/>
      <c r="F99" s="26">
        <f t="shared" si="11"/>
        <v>0</v>
      </c>
      <c r="G99" s="25">
        <f t="shared" si="13"/>
        <v>0</v>
      </c>
      <c r="H99" s="12">
        <v>0</v>
      </c>
      <c r="I99" s="27">
        <v>0</v>
      </c>
      <c r="J99" s="23"/>
    </row>
    <row r="100" spans="2:10" hidden="1" x14ac:dyDescent="0.35">
      <c r="B100" s="11">
        <v>21</v>
      </c>
      <c r="C100" s="17" t="s">
        <v>38</v>
      </c>
      <c r="D100" s="25"/>
      <c r="E100" s="25"/>
      <c r="F100" s="26">
        <f t="shared" si="11"/>
        <v>0</v>
      </c>
      <c r="G100" s="25">
        <f t="shared" si="13"/>
        <v>0</v>
      </c>
      <c r="H100" s="12">
        <v>0</v>
      </c>
      <c r="I100" s="27">
        <v>0</v>
      </c>
      <c r="J100" s="23"/>
    </row>
    <row r="101" spans="2:10" hidden="1" x14ac:dyDescent="0.35">
      <c r="B101" s="11">
        <v>22</v>
      </c>
      <c r="C101" s="17" t="s">
        <v>39</v>
      </c>
      <c r="D101" s="25"/>
      <c r="E101" s="25"/>
      <c r="F101" s="26">
        <f t="shared" si="11"/>
        <v>0</v>
      </c>
      <c r="G101" s="25">
        <f t="shared" si="13"/>
        <v>0</v>
      </c>
      <c r="H101" s="12">
        <v>0</v>
      </c>
      <c r="I101" s="27">
        <v>0</v>
      </c>
      <c r="J101" s="23"/>
    </row>
    <row r="102" spans="2:10" hidden="1" x14ac:dyDescent="0.35">
      <c r="B102" s="11">
        <v>23</v>
      </c>
      <c r="C102" s="17" t="s">
        <v>40</v>
      </c>
      <c r="D102" s="25"/>
      <c r="E102" s="25"/>
      <c r="F102" s="26">
        <f t="shared" si="11"/>
        <v>0</v>
      </c>
      <c r="G102" s="25">
        <f t="shared" si="13"/>
        <v>0</v>
      </c>
      <c r="H102" s="12">
        <v>0</v>
      </c>
      <c r="I102" s="27">
        <v>0</v>
      </c>
      <c r="J102" s="23"/>
    </row>
    <row r="103" spans="2:10" hidden="1" x14ac:dyDescent="0.35">
      <c r="B103" s="11">
        <v>24</v>
      </c>
      <c r="C103" s="17" t="s">
        <v>41</v>
      </c>
      <c r="D103" s="25"/>
      <c r="E103" s="25"/>
      <c r="F103" s="26">
        <f t="shared" si="11"/>
        <v>0</v>
      </c>
      <c r="G103" s="25">
        <f t="shared" si="13"/>
        <v>0</v>
      </c>
      <c r="H103" s="12">
        <v>0</v>
      </c>
      <c r="I103" s="27">
        <v>0</v>
      </c>
      <c r="J103" s="23"/>
    </row>
    <row r="104" spans="2:10" hidden="1" x14ac:dyDescent="0.35">
      <c r="B104" s="11">
        <v>25</v>
      </c>
      <c r="C104" s="19" t="s">
        <v>42</v>
      </c>
      <c r="D104" s="25"/>
      <c r="E104" s="25"/>
      <c r="F104" s="26">
        <f t="shared" si="11"/>
        <v>0</v>
      </c>
      <c r="G104" s="25">
        <f t="shared" si="13"/>
        <v>0</v>
      </c>
      <c r="H104" s="12">
        <v>0</v>
      </c>
      <c r="I104" s="27">
        <v>0</v>
      </c>
      <c r="J104" s="23"/>
    </row>
    <row r="105" spans="2:10" hidden="1" x14ac:dyDescent="0.35">
      <c r="B105" s="29">
        <v>26</v>
      </c>
      <c r="C105" s="30" t="s">
        <v>43</v>
      </c>
      <c r="D105" s="31"/>
      <c r="E105" s="31"/>
      <c r="F105" s="32">
        <f t="shared" si="11"/>
        <v>0</v>
      </c>
      <c r="G105" s="31">
        <f t="shared" si="13"/>
        <v>0</v>
      </c>
      <c r="H105" s="33">
        <v>0</v>
      </c>
      <c r="I105" s="34">
        <v>0</v>
      </c>
      <c r="J105" s="23"/>
    </row>
    <row r="106" spans="2:10" x14ac:dyDescent="0.35">
      <c r="B106" s="5"/>
      <c r="C106" s="5"/>
      <c r="D106" s="6"/>
      <c r="E106" s="6"/>
      <c r="F106" s="6"/>
      <c r="G106" s="6"/>
      <c r="H106" s="7"/>
      <c r="I106" s="6"/>
      <c r="J106" s="5"/>
    </row>
    <row r="107" spans="2:10" x14ac:dyDescent="0.35">
      <c r="B107" s="8" t="s">
        <v>44</v>
      </c>
      <c r="C107" s="5"/>
      <c r="D107" s="5"/>
      <c r="E107" s="5"/>
      <c r="F107" s="5"/>
      <c r="G107" s="5"/>
      <c r="H107" s="5"/>
      <c r="I107" s="5"/>
      <c r="J107" s="5"/>
    </row>
    <row r="108" spans="2:10" x14ac:dyDescent="0.35">
      <c r="B108" s="9" t="s">
        <v>45</v>
      </c>
      <c r="C108" s="5"/>
      <c r="D108" s="5"/>
      <c r="E108" s="5"/>
      <c r="F108" s="5"/>
      <c r="G108" s="5"/>
      <c r="H108" s="5"/>
      <c r="I108" s="5"/>
      <c r="J108" s="5"/>
    </row>
    <row r="109" spans="2:10" x14ac:dyDescent="0.35">
      <c r="B109" s="9" t="s">
        <v>46</v>
      </c>
      <c r="C109" s="5"/>
      <c r="D109" s="5"/>
      <c r="E109" s="5"/>
      <c r="F109" s="5"/>
      <c r="G109" s="5"/>
      <c r="H109" s="5"/>
      <c r="I109" s="5"/>
      <c r="J109" s="5"/>
    </row>
    <row r="110" spans="2:10" x14ac:dyDescent="0.35">
      <c r="B110" s="9" t="s">
        <v>47</v>
      </c>
      <c r="C110" s="5"/>
      <c r="D110" s="5"/>
      <c r="E110" s="5"/>
      <c r="F110" s="5"/>
      <c r="G110" s="5"/>
      <c r="H110" s="5"/>
      <c r="I110" s="5"/>
      <c r="J110" s="5"/>
    </row>
    <row r="113" spans="2:10" ht="18.5" x14ac:dyDescent="0.45">
      <c r="B113" s="10"/>
      <c r="C113" s="10"/>
      <c r="D113" s="167" t="s">
        <v>52</v>
      </c>
      <c r="E113" s="167"/>
      <c r="F113" s="167"/>
      <c r="G113" s="167"/>
      <c r="H113" s="167"/>
      <c r="I113" s="167"/>
      <c r="J113" s="10"/>
    </row>
    <row r="114" spans="2:10" s="38" customFormat="1" ht="16" x14ac:dyDescent="0.4">
      <c r="B114" s="28"/>
      <c r="C114" s="28"/>
      <c r="D114" s="168" t="s">
        <v>57</v>
      </c>
      <c r="E114" s="168"/>
      <c r="F114" s="168"/>
      <c r="G114" s="168"/>
      <c r="H114" s="168"/>
      <c r="I114" s="168"/>
      <c r="J114" s="28"/>
    </row>
    <row r="115" spans="2:10" ht="15.9" customHeight="1" x14ac:dyDescent="0.4">
      <c r="B115" s="124" t="s">
        <v>6</v>
      </c>
      <c r="C115" s="124"/>
      <c r="D115" s="124"/>
      <c r="E115" s="124"/>
      <c r="F115" s="124"/>
      <c r="G115" s="124"/>
      <c r="H115" s="124"/>
      <c r="I115" s="124"/>
      <c r="J115" s="124"/>
    </row>
    <row r="116" spans="2:10" ht="14.4" customHeight="1" x14ac:dyDescent="0.35">
      <c r="B116" s="15"/>
      <c r="C116" s="16"/>
      <c r="D116" s="148" t="s">
        <v>7</v>
      </c>
      <c r="E116" s="149"/>
      <c r="F116" s="149"/>
      <c r="G116" s="150"/>
      <c r="H116" s="151" t="s">
        <v>8</v>
      </c>
      <c r="I116" s="152"/>
      <c r="J116" s="4"/>
    </row>
    <row r="117" spans="2:10" x14ac:dyDescent="0.35">
      <c r="B117" s="13"/>
      <c r="C117" s="14"/>
      <c r="D117" s="155" t="s">
        <v>10</v>
      </c>
      <c r="E117" s="156"/>
      <c r="F117" s="156"/>
      <c r="G117" s="157"/>
      <c r="H117" s="153"/>
      <c r="I117" s="154"/>
      <c r="J117" s="4"/>
    </row>
    <row r="118" spans="2:10" ht="14.4" customHeight="1" x14ac:dyDescent="0.35">
      <c r="B118" s="128" t="s">
        <v>11</v>
      </c>
      <c r="C118" s="130" t="s">
        <v>12</v>
      </c>
      <c r="D118" s="20" t="s">
        <v>13</v>
      </c>
      <c r="E118" s="20" t="s">
        <v>14</v>
      </c>
      <c r="F118" s="20" t="s">
        <v>15</v>
      </c>
      <c r="G118" s="20" t="s">
        <v>16</v>
      </c>
      <c r="H118" s="158" t="s">
        <v>17</v>
      </c>
      <c r="I118" s="130" t="s">
        <v>18</v>
      </c>
      <c r="J118" s="21"/>
    </row>
    <row r="119" spans="2:10" ht="39" customHeight="1" x14ac:dyDescent="0.35">
      <c r="B119" s="129"/>
      <c r="C119" s="131"/>
      <c r="D119" s="160" t="s">
        <v>21</v>
      </c>
      <c r="E119" s="161"/>
      <c r="F119" s="161"/>
      <c r="G119" s="162"/>
      <c r="H119" s="159"/>
      <c r="I119" s="131"/>
      <c r="J119" s="21"/>
    </row>
    <row r="120" spans="2:10" x14ac:dyDescent="0.35">
      <c r="B120" s="43">
        <v>4</v>
      </c>
      <c r="C120" s="41" t="s">
        <v>22</v>
      </c>
      <c r="D120" s="22">
        <v>31342.01</v>
      </c>
      <c r="E120" s="22">
        <v>0</v>
      </c>
      <c r="F120" s="61">
        <f>+D120+E120</f>
        <v>31342.01</v>
      </c>
      <c r="G120" s="22">
        <f>+F120</f>
        <v>31342.01</v>
      </c>
      <c r="H120" s="62" t="e">
        <f t="shared" ref="H120:H125" si="14">((G120-I120)/I120)*100</f>
        <v>#DIV/0!</v>
      </c>
      <c r="I120" s="22">
        <v>0</v>
      </c>
      <c r="J120" s="23"/>
    </row>
    <row r="121" spans="2:10" x14ac:dyDescent="0.35">
      <c r="B121" s="43">
        <v>5</v>
      </c>
      <c r="C121" s="41" t="s">
        <v>23</v>
      </c>
      <c r="D121" s="27">
        <v>63398.03</v>
      </c>
      <c r="E121" s="27">
        <v>0</v>
      </c>
      <c r="F121" s="65">
        <f>+E121+D121</f>
        <v>63398.03</v>
      </c>
      <c r="G121" s="27">
        <f>+G120+F121</f>
        <v>94740.04</v>
      </c>
      <c r="H121" s="66">
        <f t="shared" si="14"/>
        <v>-29.5186004902599</v>
      </c>
      <c r="I121" s="27">
        <v>134418.5</v>
      </c>
      <c r="J121" s="23"/>
    </row>
    <row r="122" spans="2:10" x14ac:dyDescent="0.35">
      <c r="B122" s="43">
        <v>6</v>
      </c>
      <c r="C122" s="41" t="s">
        <v>24</v>
      </c>
      <c r="D122" s="27">
        <v>100463.52</v>
      </c>
      <c r="E122" s="27">
        <v>0</v>
      </c>
      <c r="F122" s="65">
        <f>+E122+D122</f>
        <v>100463.52</v>
      </c>
      <c r="G122" s="27">
        <f t="shared" ref="G122" si="15">+G121+F122</f>
        <v>195203.56</v>
      </c>
      <c r="H122" s="66">
        <f t="shared" si="14"/>
        <v>6.1006950066673173</v>
      </c>
      <c r="I122" s="27">
        <f>+I121+49561.03</f>
        <v>183979.53</v>
      </c>
      <c r="J122" s="23"/>
    </row>
    <row r="123" spans="2:10" x14ac:dyDescent="0.35">
      <c r="B123" s="43">
        <v>7</v>
      </c>
      <c r="C123" s="41" t="s">
        <v>25</v>
      </c>
      <c r="D123" s="27">
        <v>126018.58</v>
      </c>
      <c r="E123" s="27">
        <v>0</v>
      </c>
      <c r="F123" s="65">
        <f t="shared" ref="F123:F142" si="16">+E123+D123</f>
        <v>126018.58</v>
      </c>
      <c r="G123" s="27">
        <f>+G122+F123</f>
        <v>321222.14</v>
      </c>
      <c r="H123" s="66">
        <f t="shared" si="14"/>
        <v>23.663724992063674</v>
      </c>
      <c r="I123" s="27">
        <f>+I122+75775.01</f>
        <v>259754.53999999998</v>
      </c>
      <c r="J123" s="23"/>
    </row>
    <row r="124" spans="2:10" x14ac:dyDescent="0.35">
      <c r="B124" s="43">
        <v>8</v>
      </c>
      <c r="C124" s="41" t="s">
        <v>26</v>
      </c>
      <c r="D124" s="27">
        <v>75478.509999999995</v>
      </c>
      <c r="E124" s="27">
        <v>0</v>
      </c>
      <c r="F124" s="65">
        <f t="shared" si="16"/>
        <v>75478.509999999995</v>
      </c>
      <c r="G124" s="27">
        <f t="shared" ref="G124:G125" si="17">+G123+F124</f>
        <v>396700.65</v>
      </c>
      <c r="H124" s="66">
        <f t="shared" si="14"/>
        <v>10.344795070691626</v>
      </c>
      <c r="I124" s="27">
        <v>359510.07</v>
      </c>
      <c r="J124" s="23"/>
    </row>
    <row r="125" spans="2:10" x14ac:dyDescent="0.35">
      <c r="B125" s="43">
        <v>9</v>
      </c>
      <c r="C125" s="41" t="s">
        <v>27</v>
      </c>
      <c r="D125" s="27">
        <v>122822.01</v>
      </c>
      <c r="E125" s="27">
        <v>0</v>
      </c>
      <c r="F125" s="65">
        <f t="shared" si="16"/>
        <v>122822.01</v>
      </c>
      <c r="G125" s="70">
        <f t="shared" si="17"/>
        <v>519522.66000000003</v>
      </c>
      <c r="H125" s="66">
        <f t="shared" si="14"/>
        <v>14.723010557346896</v>
      </c>
      <c r="I125" s="27">
        <f>+I124+93339.5</f>
        <v>452849.57</v>
      </c>
      <c r="J125" s="23"/>
    </row>
    <row r="126" spans="2:10" hidden="1" x14ac:dyDescent="0.35">
      <c r="B126" s="11">
        <v>10</v>
      </c>
      <c r="C126" s="17" t="s">
        <v>50</v>
      </c>
      <c r="D126" s="25"/>
      <c r="E126" s="25"/>
      <c r="F126" s="26">
        <f t="shared" si="16"/>
        <v>0</v>
      </c>
      <c r="G126" s="25">
        <f t="shared" ref="G126:G142" si="18">+G125+F126</f>
        <v>519522.66000000003</v>
      </c>
      <c r="H126" s="12">
        <v>0</v>
      </c>
      <c r="I126" s="27">
        <v>0</v>
      </c>
      <c r="J126" s="23"/>
    </row>
    <row r="127" spans="2:10" hidden="1" x14ac:dyDescent="0.35">
      <c r="B127" s="11">
        <v>11</v>
      </c>
      <c r="C127" s="17" t="s">
        <v>28</v>
      </c>
      <c r="D127" s="25"/>
      <c r="E127" s="25"/>
      <c r="F127" s="26">
        <f t="shared" si="16"/>
        <v>0</v>
      </c>
      <c r="G127" s="25">
        <f t="shared" si="18"/>
        <v>519522.66000000003</v>
      </c>
      <c r="H127" s="12">
        <v>0</v>
      </c>
      <c r="I127" s="27">
        <v>0</v>
      </c>
      <c r="J127" s="23"/>
    </row>
    <row r="128" spans="2:10" hidden="1" x14ac:dyDescent="0.35">
      <c r="B128" s="11">
        <v>12</v>
      </c>
      <c r="C128" s="17" t="s">
        <v>29</v>
      </c>
      <c r="D128" s="25"/>
      <c r="E128" s="25"/>
      <c r="F128" s="26">
        <f t="shared" si="16"/>
        <v>0</v>
      </c>
      <c r="G128" s="25">
        <f t="shared" si="18"/>
        <v>519522.66000000003</v>
      </c>
      <c r="H128" s="12">
        <v>0</v>
      </c>
      <c r="I128" s="27">
        <v>0</v>
      </c>
      <c r="J128" s="23"/>
    </row>
    <row r="129" spans="2:10" hidden="1" x14ac:dyDescent="0.35">
      <c r="B129" s="11">
        <v>13</v>
      </c>
      <c r="C129" s="17" t="s">
        <v>30</v>
      </c>
      <c r="D129" s="25"/>
      <c r="E129" s="25"/>
      <c r="F129" s="26">
        <f t="shared" si="16"/>
        <v>0</v>
      </c>
      <c r="G129" s="25">
        <f t="shared" si="18"/>
        <v>519522.66000000003</v>
      </c>
      <c r="H129" s="12">
        <v>0</v>
      </c>
      <c r="I129" s="27">
        <v>0</v>
      </c>
      <c r="J129" s="23"/>
    </row>
    <row r="130" spans="2:10" hidden="1" x14ac:dyDescent="0.35">
      <c r="B130" s="11">
        <v>14</v>
      </c>
      <c r="C130" s="18" t="s">
        <v>31</v>
      </c>
      <c r="D130" s="25"/>
      <c r="E130" s="25"/>
      <c r="F130" s="26">
        <f t="shared" si="16"/>
        <v>0</v>
      </c>
      <c r="G130" s="25">
        <f t="shared" si="18"/>
        <v>519522.66000000003</v>
      </c>
      <c r="H130" s="12">
        <v>0</v>
      </c>
      <c r="I130" s="27">
        <v>0</v>
      </c>
      <c r="J130" s="23"/>
    </row>
    <row r="131" spans="2:10" hidden="1" x14ac:dyDescent="0.35">
      <c r="B131" s="11">
        <v>15</v>
      </c>
      <c r="C131" s="17" t="s">
        <v>32</v>
      </c>
      <c r="D131" s="25"/>
      <c r="E131" s="25"/>
      <c r="F131" s="26">
        <f t="shared" si="16"/>
        <v>0</v>
      </c>
      <c r="G131" s="25">
        <f t="shared" si="18"/>
        <v>519522.66000000003</v>
      </c>
      <c r="H131" s="12">
        <v>0</v>
      </c>
      <c r="I131" s="27">
        <v>0</v>
      </c>
      <c r="J131" s="23"/>
    </row>
    <row r="132" spans="2:10" hidden="1" x14ac:dyDescent="0.35">
      <c r="B132" s="11">
        <v>16</v>
      </c>
      <c r="C132" s="17" t="s">
        <v>33</v>
      </c>
      <c r="D132" s="25"/>
      <c r="E132" s="25"/>
      <c r="F132" s="26">
        <f t="shared" si="16"/>
        <v>0</v>
      </c>
      <c r="G132" s="25">
        <f t="shared" si="18"/>
        <v>519522.66000000003</v>
      </c>
      <c r="H132" s="12">
        <v>0</v>
      </c>
      <c r="I132" s="27">
        <v>0</v>
      </c>
      <c r="J132" s="23"/>
    </row>
    <row r="133" spans="2:10" hidden="1" x14ac:dyDescent="0.35">
      <c r="B133" s="11">
        <v>17</v>
      </c>
      <c r="C133" s="17" t="s">
        <v>34</v>
      </c>
      <c r="D133" s="25"/>
      <c r="E133" s="25"/>
      <c r="F133" s="26">
        <f t="shared" si="16"/>
        <v>0</v>
      </c>
      <c r="G133" s="25">
        <f t="shared" si="18"/>
        <v>519522.66000000003</v>
      </c>
      <c r="H133" s="12">
        <v>0</v>
      </c>
      <c r="I133" s="27">
        <v>0</v>
      </c>
      <c r="J133" s="23"/>
    </row>
    <row r="134" spans="2:10" hidden="1" x14ac:dyDescent="0.35">
      <c r="B134" s="11">
        <v>18</v>
      </c>
      <c r="C134" s="17" t="s">
        <v>35</v>
      </c>
      <c r="D134" s="25"/>
      <c r="E134" s="25"/>
      <c r="F134" s="26">
        <f t="shared" si="16"/>
        <v>0</v>
      </c>
      <c r="G134" s="25">
        <f t="shared" si="18"/>
        <v>519522.66000000003</v>
      </c>
      <c r="H134" s="12">
        <v>0</v>
      </c>
      <c r="I134" s="27">
        <v>0</v>
      </c>
      <c r="J134" s="23"/>
    </row>
    <row r="135" spans="2:10" hidden="1" x14ac:dyDescent="0.35">
      <c r="B135" s="11">
        <v>19</v>
      </c>
      <c r="C135" s="17" t="s">
        <v>36</v>
      </c>
      <c r="D135" s="25"/>
      <c r="E135" s="25"/>
      <c r="F135" s="26">
        <f t="shared" si="16"/>
        <v>0</v>
      </c>
      <c r="G135" s="25">
        <f t="shared" si="18"/>
        <v>519522.66000000003</v>
      </c>
      <c r="H135" s="12">
        <v>0</v>
      </c>
      <c r="I135" s="27">
        <v>0</v>
      </c>
      <c r="J135" s="23"/>
    </row>
    <row r="136" spans="2:10" hidden="1" x14ac:dyDescent="0.35">
      <c r="B136" s="11">
        <v>20</v>
      </c>
      <c r="C136" s="17" t="s">
        <v>37</v>
      </c>
      <c r="D136" s="25"/>
      <c r="E136" s="25"/>
      <c r="F136" s="26">
        <f t="shared" si="16"/>
        <v>0</v>
      </c>
      <c r="G136" s="25">
        <f t="shared" si="18"/>
        <v>519522.66000000003</v>
      </c>
      <c r="H136" s="12">
        <v>0</v>
      </c>
      <c r="I136" s="27">
        <v>0</v>
      </c>
      <c r="J136" s="23"/>
    </row>
    <row r="137" spans="2:10" hidden="1" x14ac:dyDescent="0.35">
      <c r="B137" s="11">
        <v>21</v>
      </c>
      <c r="C137" s="17" t="s">
        <v>38</v>
      </c>
      <c r="D137" s="25"/>
      <c r="E137" s="25"/>
      <c r="F137" s="26">
        <f t="shared" si="16"/>
        <v>0</v>
      </c>
      <c r="G137" s="25">
        <f t="shared" si="18"/>
        <v>519522.66000000003</v>
      </c>
      <c r="H137" s="12">
        <v>0</v>
      </c>
      <c r="I137" s="27">
        <v>0</v>
      </c>
      <c r="J137" s="23"/>
    </row>
    <row r="138" spans="2:10" hidden="1" x14ac:dyDescent="0.35">
      <c r="B138" s="11">
        <v>22</v>
      </c>
      <c r="C138" s="17" t="s">
        <v>39</v>
      </c>
      <c r="D138" s="25"/>
      <c r="E138" s="25"/>
      <c r="F138" s="26">
        <f t="shared" si="16"/>
        <v>0</v>
      </c>
      <c r="G138" s="25">
        <f t="shared" si="18"/>
        <v>519522.66000000003</v>
      </c>
      <c r="H138" s="12">
        <v>0</v>
      </c>
      <c r="I138" s="27">
        <v>0</v>
      </c>
      <c r="J138" s="23"/>
    </row>
    <row r="139" spans="2:10" hidden="1" x14ac:dyDescent="0.35">
      <c r="B139" s="11">
        <v>23</v>
      </c>
      <c r="C139" s="17" t="s">
        <v>40</v>
      </c>
      <c r="D139" s="25"/>
      <c r="E139" s="25"/>
      <c r="F139" s="26">
        <f t="shared" si="16"/>
        <v>0</v>
      </c>
      <c r="G139" s="25">
        <f t="shared" si="18"/>
        <v>519522.66000000003</v>
      </c>
      <c r="H139" s="12">
        <v>0</v>
      </c>
      <c r="I139" s="27">
        <v>0</v>
      </c>
      <c r="J139" s="23"/>
    </row>
    <row r="140" spans="2:10" hidden="1" x14ac:dyDescent="0.35">
      <c r="B140" s="11">
        <v>24</v>
      </c>
      <c r="C140" s="17" t="s">
        <v>41</v>
      </c>
      <c r="D140" s="25"/>
      <c r="E140" s="25"/>
      <c r="F140" s="26">
        <f t="shared" si="16"/>
        <v>0</v>
      </c>
      <c r="G140" s="25">
        <f t="shared" si="18"/>
        <v>519522.66000000003</v>
      </c>
      <c r="H140" s="12">
        <v>0</v>
      </c>
      <c r="I140" s="27">
        <v>0</v>
      </c>
      <c r="J140" s="23"/>
    </row>
    <row r="141" spans="2:10" hidden="1" x14ac:dyDescent="0.35">
      <c r="B141" s="11">
        <v>25</v>
      </c>
      <c r="C141" s="19" t="s">
        <v>42</v>
      </c>
      <c r="D141" s="25"/>
      <c r="E141" s="25"/>
      <c r="F141" s="26">
        <f t="shared" si="16"/>
        <v>0</v>
      </c>
      <c r="G141" s="25">
        <f t="shared" si="18"/>
        <v>519522.66000000003</v>
      </c>
      <c r="H141" s="12">
        <v>0</v>
      </c>
      <c r="I141" s="27">
        <v>0</v>
      </c>
      <c r="J141" s="23"/>
    </row>
    <row r="142" spans="2:10" hidden="1" x14ac:dyDescent="0.35">
      <c r="B142" s="29">
        <v>26</v>
      </c>
      <c r="C142" s="30" t="s">
        <v>43</v>
      </c>
      <c r="D142" s="31"/>
      <c r="E142" s="31"/>
      <c r="F142" s="32">
        <f t="shared" si="16"/>
        <v>0</v>
      </c>
      <c r="G142" s="31">
        <f t="shared" si="18"/>
        <v>519522.66000000003</v>
      </c>
      <c r="H142" s="33">
        <v>0</v>
      </c>
      <c r="I142" s="34">
        <v>0</v>
      </c>
      <c r="J142" s="23"/>
    </row>
    <row r="143" spans="2:10" x14ac:dyDescent="0.35">
      <c r="B143" s="5"/>
      <c r="C143" s="5"/>
      <c r="D143" s="6"/>
      <c r="E143" s="6"/>
      <c r="F143" s="6"/>
      <c r="G143" s="6"/>
      <c r="H143" s="7"/>
      <c r="I143" s="6"/>
      <c r="J143" s="5"/>
    </row>
    <row r="144" spans="2:10" x14ac:dyDescent="0.35">
      <c r="B144" s="8" t="s">
        <v>44</v>
      </c>
      <c r="C144" s="5"/>
      <c r="D144" s="5"/>
      <c r="E144" s="5"/>
      <c r="F144" s="5"/>
      <c r="G144" s="5"/>
      <c r="H144" s="5"/>
      <c r="I144" s="5"/>
      <c r="J144" s="5"/>
    </row>
    <row r="145" spans="2:10" x14ac:dyDescent="0.35">
      <c r="B145" s="9" t="s">
        <v>45</v>
      </c>
      <c r="C145" s="5"/>
      <c r="D145" s="5"/>
      <c r="E145" s="5"/>
      <c r="F145" s="5"/>
      <c r="G145" s="5"/>
      <c r="H145" s="5"/>
      <c r="I145" s="5"/>
      <c r="J145" s="5"/>
    </row>
    <row r="146" spans="2:10" x14ac:dyDescent="0.35">
      <c r="B146" s="9" t="s">
        <v>46</v>
      </c>
      <c r="C146" s="5"/>
      <c r="D146" s="5"/>
      <c r="E146" s="5"/>
      <c r="F146" s="5"/>
      <c r="G146" s="5"/>
      <c r="H146" s="5"/>
      <c r="I146" s="5"/>
      <c r="J146" s="5"/>
    </row>
    <row r="147" spans="2:10" x14ac:dyDescent="0.35">
      <c r="B147" s="9" t="s">
        <v>47</v>
      </c>
      <c r="C147" s="5"/>
      <c r="D147" s="5"/>
      <c r="E147" s="5"/>
      <c r="F147" s="5"/>
      <c r="G147" s="5"/>
      <c r="H147" s="5"/>
      <c r="I147" s="5"/>
      <c r="J147" s="5"/>
    </row>
  </sheetData>
  <mergeCells count="43">
    <mergeCell ref="B118:B119"/>
    <mergeCell ref="C118:C119"/>
    <mergeCell ref="H118:H119"/>
    <mergeCell ref="I118:I119"/>
    <mergeCell ref="D119:G119"/>
    <mergeCell ref="B81:B82"/>
    <mergeCell ref="C81:C82"/>
    <mergeCell ref="H81:H82"/>
    <mergeCell ref="I81:I82"/>
    <mergeCell ref="D82:G82"/>
    <mergeCell ref="B44:B45"/>
    <mergeCell ref="C44:C45"/>
    <mergeCell ref="H44:H45"/>
    <mergeCell ref="I44:I45"/>
    <mergeCell ref="D45:G45"/>
    <mergeCell ref="H116:I117"/>
    <mergeCell ref="D117:G117"/>
    <mergeCell ref="D113:I113"/>
    <mergeCell ref="D116:G116"/>
    <mergeCell ref="D114:I114"/>
    <mergeCell ref="B115:J115"/>
    <mergeCell ref="H79:I80"/>
    <mergeCell ref="D80:G80"/>
    <mergeCell ref="D76:I76"/>
    <mergeCell ref="D79:G79"/>
    <mergeCell ref="D77:I77"/>
    <mergeCell ref="B78:J78"/>
    <mergeCell ref="H42:I43"/>
    <mergeCell ref="D43:G43"/>
    <mergeCell ref="D39:I39"/>
    <mergeCell ref="D42:G42"/>
    <mergeCell ref="D40:I40"/>
    <mergeCell ref="B41:J41"/>
    <mergeCell ref="B7:B8"/>
    <mergeCell ref="C7:C8"/>
    <mergeCell ref="H7:H8"/>
    <mergeCell ref="I7:I8"/>
    <mergeCell ref="D8:G8"/>
    <mergeCell ref="D3:I3"/>
    <mergeCell ref="B4:J4"/>
    <mergeCell ref="D5:G5"/>
    <mergeCell ref="H5:I6"/>
    <mergeCell ref="D6:G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60317-8A38-49FD-9E0D-D296595EAB79}">
  <dimension ref="B3:L147"/>
  <sheetViews>
    <sheetView topLeftCell="A76" workbookViewId="0">
      <selection activeCell="L107" sqref="L107"/>
    </sheetView>
  </sheetViews>
  <sheetFormatPr defaultColWidth="9" defaultRowHeight="14.5" x14ac:dyDescent="0.35"/>
  <cols>
    <col min="1" max="1" width="2" style="3" customWidth="1"/>
    <col min="2" max="2" width="6.09765625" style="3" customWidth="1"/>
    <col min="3" max="3" width="25.59765625" style="3" customWidth="1"/>
    <col min="4" max="4" width="18.59765625" style="3" customWidth="1"/>
    <col min="5" max="5" width="13" style="3" customWidth="1"/>
    <col min="6" max="6" width="14.8984375" style="3" customWidth="1"/>
    <col min="7" max="7" width="14.59765625" style="3" customWidth="1"/>
    <col min="8" max="9" width="13" style="3" customWidth="1"/>
    <col min="10" max="16384" width="9" style="3"/>
  </cols>
  <sheetData>
    <row r="3" spans="2:12" s="35" customFormat="1" ht="18.5" x14ac:dyDescent="0.45">
      <c r="B3" s="36"/>
      <c r="C3" s="36"/>
      <c r="D3" s="147" t="s">
        <v>58</v>
      </c>
      <c r="E3" s="147"/>
      <c r="F3" s="147"/>
      <c r="G3" s="147"/>
      <c r="H3" s="147"/>
      <c r="I3" s="147"/>
      <c r="J3" s="36"/>
      <c r="K3" s="37"/>
      <c r="L3" s="2"/>
    </row>
    <row r="4" spans="2:12" ht="15.9" customHeight="1" x14ac:dyDescent="0.4">
      <c r="B4" s="124" t="s">
        <v>6</v>
      </c>
      <c r="C4" s="124"/>
      <c r="D4" s="124"/>
      <c r="E4" s="124"/>
      <c r="F4" s="124"/>
      <c r="G4" s="124"/>
      <c r="H4" s="124"/>
      <c r="I4" s="124"/>
      <c r="J4" s="124"/>
      <c r="K4" s="1"/>
      <c r="L4" s="2"/>
    </row>
    <row r="5" spans="2:12" ht="14.4" customHeight="1" x14ac:dyDescent="0.35">
      <c r="B5" s="15"/>
      <c r="C5" s="16"/>
      <c r="D5" s="148" t="s">
        <v>7</v>
      </c>
      <c r="E5" s="149"/>
      <c r="F5" s="149"/>
      <c r="G5" s="150"/>
      <c r="H5" s="151" t="s">
        <v>8</v>
      </c>
      <c r="I5" s="152"/>
      <c r="J5" s="4"/>
      <c r="K5" s="1"/>
      <c r="L5" s="2"/>
    </row>
    <row r="6" spans="2:12" x14ac:dyDescent="0.35">
      <c r="B6" s="13"/>
      <c r="C6" s="14"/>
      <c r="D6" s="155" t="s">
        <v>10</v>
      </c>
      <c r="E6" s="156"/>
      <c r="F6" s="156"/>
      <c r="G6" s="157"/>
      <c r="H6" s="153"/>
      <c r="I6" s="154"/>
      <c r="J6" s="4"/>
      <c r="K6" s="1"/>
      <c r="L6" s="2"/>
    </row>
    <row r="7" spans="2:12" ht="18.899999999999999" customHeight="1" x14ac:dyDescent="0.35">
      <c r="B7" s="128" t="s">
        <v>11</v>
      </c>
      <c r="C7" s="130" t="s">
        <v>12</v>
      </c>
      <c r="D7" s="20" t="s">
        <v>13</v>
      </c>
      <c r="E7" s="20" t="s">
        <v>14</v>
      </c>
      <c r="F7" s="20" t="s">
        <v>15</v>
      </c>
      <c r="G7" s="20" t="s">
        <v>16</v>
      </c>
      <c r="H7" s="158" t="s">
        <v>17</v>
      </c>
      <c r="I7" s="130" t="s">
        <v>18</v>
      </c>
      <c r="J7" s="21"/>
      <c r="K7" s="1"/>
      <c r="L7" s="2"/>
    </row>
    <row r="8" spans="2:12" ht="33" customHeight="1" x14ac:dyDescent="0.35">
      <c r="B8" s="129"/>
      <c r="C8" s="131"/>
      <c r="D8" s="160" t="s">
        <v>21</v>
      </c>
      <c r="E8" s="161"/>
      <c r="F8" s="161"/>
      <c r="G8" s="162"/>
      <c r="H8" s="159"/>
      <c r="I8" s="131"/>
      <c r="J8" s="21"/>
      <c r="K8" s="1"/>
    </row>
    <row r="9" spans="2:12" x14ac:dyDescent="0.35">
      <c r="B9" s="43">
        <v>4</v>
      </c>
      <c r="C9" s="41" t="s">
        <v>22</v>
      </c>
      <c r="D9" s="22">
        <v>0</v>
      </c>
      <c r="E9" s="22">
        <v>0</v>
      </c>
      <c r="F9" s="61">
        <f>+D9+E9</f>
        <v>0</v>
      </c>
      <c r="G9" s="22">
        <f>+F9</f>
        <v>0</v>
      </c>
      <c r="H9" s="66" t="e">
        <f t="shared" ref="H9" si="0">((G9-I9)/I9)*100</f>
        <v>#DIV/0!</v>
      </c>
      <c r="I9" s="22">
        <v>0</v>
      </c>
      <c r="J9" s="23"/>
      <c r="K9" s="1"/>
    </row>
    <row r="10" spans="2:12" x14ac:dyDescent="0.35">
      <c r="B10" s="43">
        <v>5</v>
      </c>
      <c r="C10" s="41" t="s">
        <v>23</v>
      </c>
      <c r="D10" s="27">
        <v>245586</v>
      </c>
      <c r="E10" s="27">
        <v>0</v>
      </c>
      <c r="F10" s="65">
        <f>+E10+D10</f>
        <v>245586</v>
      </c>
      <c r="G10" s="27">
        <f>+G9+F10</f>
        <v>245586</v>
      </c>
      <c r="H10" s="66">
        <f t="shared" ref="H10:H14" si="1">((G10-I10)/I10)*100</f>
        <v>381.03184863086142</v>
      </c>
      <c r="I10" s="27">
        <v>51054</v>
      </c>
      <c r="J10" s="23"/>
      <c r="K10" s="1"/>
    </row>
    <row r="11" spans="2:12" x14ac:dyDescent="0.35">
      <c r="B11" s="43">
        <v>6</v>
      </c>
      <c r="C11" s="41" t="s">
        <v>24</v>
      </c>
      <c r="D11" s="27">
        <v>312835.90000000002</v>
      </c>
      <c r="E11" s="27">
        <v>0</v>
      </c>
      <c r="F11" s="65">
        <f>+E11+D11</f>
        <v>312835.90000000002</v>
      </c>
      <c r="G11" s="27">
        <f t="shared" ref="G11:G31" si="2">+G10+F11</f>
        <v>558421.9</v>
      </c>
      <c r="H11" s="66">
        <f t="shared" si="1"/>
        <v>31.059264205255548</v>
      </c>
      <c r="I11" s="27">
        <f>+I10+375029.5</f>
        <v>426083.5</v>
      </c>
      <c r="J11" s="23"/>
      <c r="K11" s="1"/>
    </row>
    <row r="12" spans="2:12" x14ac:dyDescent="0.35">
      <c r="B12" s="43">
        <v>7</v>
      </c>
      <c r="C12" s="41" t="s">
        <v>25</v>
      </c>
      <c r="D12" s="27">
        <v>309034</v>
      </c>
      <c r="E12" s="27">
        <v>217067</v>
      </c>
      <c r="F12" s="65">
        <f t="shared" ref="F12:F31" si="3">+E12+D12</f>
        <v>526101</v>
      </c>
      <c r="G12" s="27">
        <f>+G11+F12</f>
        <v>1084522.8999999999</v>
      </c>
      <c r="H12" s="66">
        <f t="shared" si="1"/>
        <v>40.323195859615062</v>
      </c>
      <c r="I12" s="27">
        <f>+I11+346791.5</f>
        <v>772875</v>
      </c>
      <c r="J12" s="23"/>
      <c r="K12" s="1"/>
    </row>
    <row r="13" spans="2:12" x14ac:dyDescent="0.35">
      <c r="B13" s="43">
        <v>8</v>
      </c>
      <c r="C13" s="41" t="s">
        <v>26</v>
      </c>
      <c r="D13" s="27">
        <v>480779</v>
      </c>
      <c r="E13" s="27">
        <v>0</v>
      </c>
      <c r="F13" s="65">
        <f t="shared" si="3"/>
        <v>480779</v>
      </c>
      <c r="G13" s="27">
        <f t="shared" ref="G13:G14" si="4">+G12+F13</f>
        <v>1565301.9</v>
      </c>
      <c r="H13" s="66">
        <f t="shared" si="1"/>
        <v>16.74030701626814</v>
      </c>
      <c r="I13" s="27">
        <v>1340841</v>
      </c>
      <c r="J13" s="23"/>
      <c r="K13" s="1"/>
    </row>
    <row r="14" spans="2:12" x14ac:dyDescent="0.35">
      <c r="B14" s="43">
        <v>9</v>
      </c>
      <c r="C14" s="41" t="s">
        <v>27</v>
      </c>
      <c r="D14" s="27">
        <v>230527</v>
      </c>
      <c r="E14" s="27">
        <v>0</v>
      </c>
      <c r="F14" s="65">
        <f t="shared" si="3"/>
        <v>230527</v>
      </c>
      <c r="G14" s="67">
        <f t="shared" si="4"/>
        <v>1795828.9</v>
      </c>
      <c r="H14" s="66">
        <f t="shared" si="1"/>
        <v>12.294681564846659</v>
      </c>
      <c r="I14" s="27">
        <f>+I13+258370</f>
        <v>1599211</v>
      </c>
      <c r="J14" s="23"/>
      <c r="K14" s="1"/>
    </row>
    <row r="15" spans="2:12" hidden="1" x14ac:dyDescent="0.35">
      <c r="B15" s="11">
        <v>10</v>
      </c>
      <c r="C15" s="17" t="s">
        <v>50</v>
      </c>
      <c r="D15" s="25"/>
      <c r="E15" s="25"/>
      <c r="F15" s="26">
        <f t="shared" si="3"/>
        <v>0</v>
      </c>
      <c r="G15" s="25">
        <f t="shared" si="2"/>
        <v>1795828.9</v>
      </c>
      <c r="H15" s="12">
        <v>0</v>
      </c>
      <c r="I15" s="27">
        <v>0</v>
      </c>
      <c r="J15" s="23"/>
      <c r="K15" s="1"/>
    </row>
    <row r="16" spans="2:12" hidden="1" x14ac:dyDescent="0.35">
      <c r="B16" s="11">
        <v>11</v>
      </c>
      <c r="C16" s="17" t="s">
        <v>28</v>
      </c>
      <c r="D16" s="25"/>
      <c r="E16" s="25"/>
      <c r="F16" s="26">
        <f t="shared" si="3"/>
        <v>0</v>
      </c>
      <c r="G16" s="25">
        <f t="shared" si="2"/>
        <v>1795828.9</v>
      </c>
      <c r="H16" s="12">
        <v>0</v>
      </c>
      <c r="I16" s="27">
        <v>0</v>
      </c>
      <c r="J16" s="23"/>
      <c r="K16" s="1"/>
    </row>
    <row r="17" spans="2:11" hidden="1" x14ac:dyDescent="0.35">
      <c r="B17" s="11">
        <v>12</v>
      </c>
      <c r="C17" s="17" t="s">
        <v>29</v>
      </c>
      <c r="D17" s="25"/>
      <c r="E17" s="25"/>
      <c r="F17" s="26">
        <f t="shared" si="3"/>
        <v>0</v>
      </c>
      <c r="G17" s="25">
        <f t="shared" si="2"/>
        <v>1795828.9</v>
      </c>
      <c r="H17" s="12">
        <v>0</v>
      </c>
      <c r="I17" s="27">
        <v>0</v>
      </c>
      <c r="J17" s="23"/>
      <c r="K17" s="1"/>
    </row>
    <row r="18" spans="2:11" hidden="1" x14ac:dyDescent="0.35">
      <c r="B18" s="11">
        <v>13</v>
      </c>
      <c r="C18" s="17" t="s">
        <v>30</v>
      </c>
      <c r="D18" s="25"/>
      <c r="E18" s="25"/>
      <c r="F18" s="26">
        <f t="shared" si="3"/>
        <v>0</v>
      </c>
      <c r="G18" s="25">
        <f t="shared" si="2"/>
        <v>1795828.9</v>
      </c>
      <c r="H18" s="12">
        <v>0</v>
      </c>
      <c r="I18" s="27">
        <v>0</v>
      </c>
      <c r="J18" s="23"/>
      <c r="K18" s="1"/>
    </row>
    <row r="19" spans="2:11" hidden="1" x14ac:dyDescent="0.35">
      <c r="B19" s="11">
        <v>14</v>
      </c>
      <c r="C19" s="18" t="s">
        <v>31</v>
      </c>
      <c r="D19" s="25"/>
      <c r="E19" s="25"/>
      <c r="F19" s="26">
        <f t="shared" si="3"/>
        <v>0</v>
      </c>
      <c r="G19" s="25">
        <f t="shared" si="2"/>
        <v>1795828.9</v>
      </c>
      <c r="H19" s="12">
        <v>0</v>
      </c>
      <c r="I19" s="27">
        <v>0</v>
      </c>
      <c r="J19" s="23"/>
      <c r="K19" s="1"/>
    </row>
    <row r="20" spans="2:11" hidden="1" x14ac:dyDescent="0.35">
      <c r="B20" s="11">
        <v>15</v>
      </c>
      <c r="C20" s="17" t="s">
        <v>32</v>
      </c>
      <c r="D20" s="25"/>
      <c r="E20" s="25"/>
      <c r="F20" s="26">
        <f t="shared" si="3"/>
        <v>0</v>
      </c>
      <c r="G20" s="25">
        <f t="shared" si="2"/>
        <v>1795828.9</v>
      </c>
      <c r="H20" s="12">
        <v>0</v>
      </c>
      <c r="I20" s="27">
        <v>0</v>
      </c>
      <c r="J20" s="23"/>
      <c r="K20" s="1"/>
    </row>
    <row r="21" spans="2:11" hidden="1" x14ac:dyDescent="0.35">
      <c r="B21" s="11">
        <v>16</v>
      </c>
      <c r="C21" s="17" t="s">
        <v>33</v>
      </c>
      <c r="D21" s="25"/>
      <c r="E21" s="25"/>
      <c r="F21" s="26">
        <f t="shared" si="3"/>
        <v>0</v>
      </c>
      <c r="G21" s="25">
        <f t="shared" si="2"/>
        <v>1795828.9</v>
      </c>
      <c r="H21" s="12">
        <v>0</v>
      </c>
      <c r="I21" s="27">
        <v>0</v>
      </c>
      <c r="J21" s="23"/>
      <c r="K21" s="1"/>
    </row>
    <row r="22" spans="2:11" hidden="1" x14ac:dyDescent="0.35">
      <c r="B22" s="11">
        <v>17</v>
      </c>
      <c r="C22" s="17" t="s">
        <v>34</v>
      </c>
      <c r="D22" s="25"/>
      <c r="E22" s="25"/>
      <c r="F22" s="26">
        <f t="shared" si="3"/>
        <v>0</v>
      </c>
      <c r="G22" s="25">
        <f t="shared" si="2"/>
        <v>1795828.9</v>
      </c>
      <c r="H22" s="12">
        <v>0</v>
      </c>
      <c r="I22" s="27">
        <v>0</v>
      </c>
      <c r="J22" s="23"/>
      <c r="K22" s="1"/>
    </row>
    <row r="23" spans="2:11" hidden="1" x14ac:dyDescent="0.35">
      <c r="B23" s="11">
        <v>18</v>
      </c>
      <c r="C23" s="17" t="s">
        <v>35</v>
      </c>
      <c r="D23" s="25"/>
      <c r="E23" s="25"/>
      <c r="F23" s="26">
        <f t="shared" si="3"/>
        <v>0</v>
      </c>
      <c r="G23" s="25">
        <f t="shared" si="2"/>
        <v>1795828.9</v>
      </c>
      <c r="H23" s="12">
        <v>0</v>
      </c>
      <c r="I23" s="27">
        <v>0</v>
      </c>
      <c r="J23" s="23"/>
      <c r="K23" s="1"/>
    </row>
    <row r="24" spans="2:11" hidden="1" x14ac:dyDescent="0.35">
      <c r="B24" s="11">
        <v>19</v>
      </c>
      <c r="C24" s="17" t="s">
        <v>36</v>
      </c>
      <c r="D24" s="25"/>
      <c r="E24" s="25"/>
      <c r="F24" s="26">
        <f t="shared" si="3"/>
        <v>0</v>
      </c>
      <c r="G24" s="25">
        <f t="shared" si="2"/>
        <v>1795828.9</v>
      </c>
      <c r="H24" s="12">
        <v>0</v>
      </c>
      <c r="I24" s="27">
        <v>0</v>
      </c>
      <c r="J24" s="23"/>
      <c r="K24" s="1"/>
    </row>
    <row r="25" spans="2:11" hidden="1" x14ac:dyDescent="0.35">
      <c r="B25" s="11">
        <v>20</v>
      </c>
      <c r="C25" s="17" t="s">
        <v>37</v>
      </c>
      <c r="D25" s="25"/>
      <c r="E25" s="25"/>
      <c r="F25" s="26">
        <f t="shared" si="3"/>
        <v>0</v>
      </c>
      <c r="G25" s="25">
        <f t="shared" si="2"/>
        <v>1795828.9</v>
      </c>
      <c r="H25" s="12">
        <v>0</v>
      </c>
      <c r="I25" s="27">
        <v>0</v>
      </c>
      <c r="J25" s="23"/>
      <c r="K25" s="1"/>
    </row>
    <row r="26" spans="2:11" hidden="1" x14ac:dyDescent="0.35">
      <c r="B26" s="11">
        <v>21</v>
      </c>
      <c r="C26" s="17" t="s">
        <v>38</v>
      </c>
      <c r="D26" s="25"/>
      <c r="E26" s="25"/>
      <c r="F26" s="26">
        <f t="shared" si="3"/>
        <v>0</v>
      </c>
      <c r="G26" s="25">
        <f t="shared" si="2"/>
        <v>1795828.9</v>
      </c>
      <c r="H26" s="12">
        <v>0</v>
      </c>
      <c r="I26" s="27">
        <v>0</v>
      </c>
      <c r="J26" s="23"/>
      <c r="K26" s="1"/>
    </row>
    <row r="27" spans="2:11" hidden="1" x14ac:dyDescent="0.35">
      <c r="B27" s="11">
        <v>22</v>
      </c>
      <c r="C27" s="17" t="s">
        <v>39</v>
      </c>
      <c r="D27" s="25"/>
      <c r="E27" s="25"/>
      <c r="F27" s="26">
        <f t="shared" si="3"/>
        <v>0</v>
      </c>
      <c r="G27" s="25">
        <f t="shared" si="2"/>
        <v>1795828.9</v>
      </c>
      <c r="H27" s="12">
        <v>0</v>
      </c>
      <c r="I27" s="27">
        <v>0</v>
      </c>
      <c r="J27" s="23"/>
      <c r="K27" s="1"/>
    </row>
    <row r="28" spans="2:11" hidden="1" x14ac:dyDescent="0.35">
      <c r="B28" s="11">
        <v>23</v>
      </c>
      <c r="C28" s="17" t="s">
        <v>40</v>
      </c>
      <c r="D28" s="25"/>
      <c r="E28" s="25"/>
      <c r="F28" s="26">
        <f t="shared" si="3"/>
        <v>0</v>
      </c>
      <c r="G28" s="25">
        <f t="shared" si="2"/>
        <v>1795828.9</v>
      </c>
      <c r="H28" s="12">
        <v>0</v>
      </c>
      <c r="I28" s="27">
        <v>0</v>
      </c>
      <c r="J28" s="23"/>
      <c r="K28" s="1"/>
    </row>
    <row r="29" spans="2:11" hidden="1" x14ac:dyDescent="0.35">
      <c r="B29" s="11">
        <v>24</v>
      </c>
      <c r="C29" s="17" t="s">
        <v>41</v>
      </c>
      <c r="D29" s="25"/>
      <c r="E29" s="25"/>
      <c r="F29" s="26">
        <f t="shared" si="3"/>
        <v>0</v>
      </c>
      <c r="G29" s="25">
        <f t="shared" si="2"/>
        <v>1795828.9</v>
      </c>
      <c r="H29" s="12">
        <v>0</v>
      </c>
      <c r="I29" s="27">
        <v>0</v>
      </c>
      <c r="J29" s="23"/>
      <c r="K29" s="1"/>
    </row>
    <row r="30" spans="2:11" hidden="1" x14ac:dyDescent="0.35">
      <c r="B30" s="11">
        <v>25</v>
      </c>
      <c r="C30" s="19" t="s">
        <v>42</v>
      </c>
      <c r="D30" s="25"/>
      <c r="E30" s="25"/>
      <c r="F30" s="26">
        <f t="shared" si="3"/>
        <v>0</v>
      </c>
      <c r="G30" s="25">
        <f t="shared" si="2"/>
        <v>1795828.9</v>
      </c>
      <c r="H30" s="12">
        <v>0</v>
      </c>
      <c r="I30" s="27">
        <v>0</v>
      </c>
      <c r="J30" s="23"/>
      <c r="K30" s="1"/>
    </row>
    <row r="31" spans="2:11" hidden="1" x14ac:dyDescent="0.35">
      <c r="B31" s="29">
        <v>26</v>
      </c>
      <c r="C31" s="30" t="s">
        <v>43</v>
      </c>
      <c r="D31" s="31"/>
      <c r="E31" s="31"/>
      <c r="F31" s="32">
        <f t="shared" si="3"/>
        <v>0</v>
      </c>
      <c r="G31" s="31">
        <f t="shared" si="2"/>
        <v>1795828.9</v>
      </c>
      <c r="H31" s="33">
        <v>0</v>
      </c>
      <c r="I31" s="34">
        <v>0</v>
      </c>
      <c r="J31" s="23"/>
      <c r="K31" s="1"/>
    </row>
    <row r="32" spans="2:11" x14ac:dyDescent="0.35">
      <c r="B32" s="5"/>
      <c r="C32" s="5"/>
      <c r="D32" s="6"/>
      <c r="E32" s="6"/>
      <c r="F32" s="6"/>
      <c r="G32" s="6"/>
      <c r="H32" s="7"/>
      <c r="I32" s="6"/>
      <c r="J32" s="5"/>
      <c r="K32" s="1"/>
    </row>
    <row r="33" spans="2:11" x14ac:dyDescent="0.35">
      <c r="B33" s="8" t="s">
        <v>44</v>
      </c>
      <c r="C33" s="5"/>
      <c r="D33" s="5"/>
      <c r="E33" s="5"/>
      <c r="F33" s="5"/>
      <c r="G33" s="5"/>
      <c r="H33" s="5"/>
      <c r="I33" s="5"/>
      <c r="J33" s="5"/>
      <c r="K33" s="1"/>
    </row>
    <row r="34" spans="2:11" x14ac:dyDescent="0.35">
      <c r="B34" s="9" t="s">
        <v>45</v>
      </c>
      <c r="C34" s="5"/>
      <c r="D34" s="5"/>
      <c r="E34" s="5"/>
      <c r="F34" s="5"/>
      <c r="G34" s="5"/>
      <c r="H34" s="5"/>
      <c r="I34" s="5"/>
      <c r="J34" s="5"/>
      <c r="K34" s="1"/>
    </row>
    <row r="35" spans="2:11" x14ac:dyDescent="0.35">
      <c r="B35" s="9" t="s">
        <v>46</v>
      </c>
      <c r="C35" s="5"/>
      <c r="D35" s="5"/>
      <c r="E35" s="5"/>
      <c r="F35" s="5"/>
      <c r="G35" s="5"/>
      <c r="H35" s="5"/>
      <c r="I35" s="5"/>
      <c r="J35" s="5"/>
      <c r="K35" s="1"/>
    </row>
    <row r="36" spans="2:11" x14ac:dyDescent="0.35">
      <c r="B36" s="9" t="s">
        <v>47</v>
      </c>
      <c r="C36" s="5"/>
      <c r="D36" s="5"/>
      <c r="E36" s="5"/>
      <c r="F36" s="5"/>
      <c r="G36" s="5"/>
      <c r="H36" s="5"/>
      <c r="I36" s="5"/>
      <c r="J36" s="5"/>
      <c r="K36" s="1"/>
    </row>
    <row r="37" spans="2:11" x14ac:dyDescent="0.35">
      <c r="B37" s="9"/>
      <c r="C37" s="5"/>
      <c r="D37" s="5"/>
      <c r="E37" s="5"/>
      <c r="F37" s="5"/>
      <c r="G37" s="5"/>
      <c r="H37" s="5"/>
      <c r="I37" s="5"/>
      <c r="J37" s="5"/>
      <c r="K37" s="1"/>
    </row>
    <row r="38" spans="2:11" x14ac:dyDescent="0.35">
      <c r="B38" s="9"/>
      <c r="C38" s="5"/>
      <c r="D38" s="5"/>
      <c r="E38" s="5"/>
      <c r="F38" s="5"/>
      <c r="G38" s="5"/>
      <c r="H38" s="5"/>
      <c r="I38" s="5"/>
      <c r="J38" s="5"/>
      <c r="K38" s="1"/>
    </row>
    <row r="39" spans="2:11" ht="18.5" x14ac:dyDescent="0.45">
      <c r="B39" s="10"/>
      <c r="C39" s="10"/>
      <c r="D39" s="163" t="s">
        <v>48</v>
      </c>
      <c r="E39" s="163"/>
      <c r="F39" s="163"/>
      <c r="G39" s="163"/>
      <c r="H39" s="163"/>
      <c r="I39" s="163"/>
      <c r="J39" s="10"/>
    </row>
    <row r="40" spans="2:11" s="38" customFormat="1" ht="16" x14ac:dyDescent="0.4">
      <c r="B40" s="28"/>
      <c r="C40" s="28"/>
      <c r="D40" s="164" t="s">
        <v>58</v>
      </c>
      <c r="E40" s="164"/>
      <c r="F40" s="164"/>
      <c r="G40" s="164"/>
      <c r="H40" s="164"/>
      <c r="I40" s="164"/>
      <c r="J40" s="28"/>
    </row>
    <row r="41" spans="2:11" ht="15.9" customHeight="1" x14ac:dyDescent="0.4">
      <c r="B41" s="124" t="s">
        <v>6</v>
      </c>
      <c r="C41" s="124"/>
      <c r="D41" s="124"/>
      <c r="E41" s="124"/>
      <c r="F41" s="124"/>
      <c r="G41" s="124"/>
      <c r="H41" s="124"/>
      <c r="I41" s="124"/>
      <c r="J41" s="124"/>
    </row>
    <row r="42" spans="2:11" ht="14.4" customHeight="1" x14ac:dyDescent="0.35">
      <c r="B42" s="15"/>
      <c r="C42" s="16"/>
      <c r="D42" s="148" t="s">
        <v>7</v>
      </c>
      <c r="E42" s="149"/>
      <c r="F42" s="149"/>
      <c r="G42" s="150"/>
      <c r="H42" s="151" t="s">
        <v>8</v>
      </c>
      <c r="I42" s="152"/>
      <c r="J42" s="4"/>
    </row>
    <row r="43" spans="2:11" x14ac:dyDescent="0.35">
      <c r="B43" s="13"/>
      <c r="C43" s="14"/>
      <c r="D43" s="155" t="s">
        <v>10</v>
      </c>
      <c r="E43" s="156"/>
      <c r="F43" s="156"/>
      <c r="G43" s="157"/>
      <c r="H43" s="153"/>
      <c r="I43" s="154"/>
      <c r="J43" s="4"/>
    </row>
    <row r="44" spans="2:11" ht="14.4" customHeight="1" x14ac:dyDescent="0.35">
      <c r="B44" s="128" t="s">
        <v>11</v>
      </c>
      <c r="C44" s="130" t="s">
        <v>12</v>
      </c>
      <c r="D44" s="20" t="s">
        <v>13</v>
      </c>
      <c r="E44" s="20" t="s">
        <v>14</v>
      </c>
      <c r="F44" s="20" t="s">
        <v>15</v>
      </c>
      <c r="G44" s="20" t="s">
        <v>16</v>
      </c>
      <c r="H44" s="158" t="s">
        <v>17</v>
      </c>
      <c r="I44" s="130" t="s">
        <v>18</v>
      </c>
      <c r="J44" s="21"/>
    </row>
    <row r="45" spans="2:11" ht="38.4" customHeight="1" x14ac:dyDescent="0.35">
      <c r="B45" s="129"/>
      <c r="C45" s="131"/>
      <c r="D45" s="160" t="s">
        <v>21</v>
      </c>
      <c r="E45" s="161"/>
      <c r="F45" s="161"/>
      <c r="G45" s="162"/>
      <c r="H45" s="159"/>
      <c r="I45" s="131"/>
      <c r="J45" s="21"/>
    </row>
    <row r="46" spans="2:11" x14ac:dyDescent="0.35">
      <c r="B46" s="43">
        <v>4</v>
      </c>
      <c r="C46" s="41" t="s">
        <v>22</v>
      </c>
      <c r="D46" s="22">
        <v>0</v>
      </c>
      <c r="E46" s="22">
        <v>0</v>
      </c>
      <c r="F46" s="61">
        <f>+D46+E46</f>
        <v>0</v>
      </c>
      <c r="G46" s="22">
        <f>+F46</f>
        <v>0</v>
      </c>
      <c r="H46" s="66" t="e">
        <f t="shared" ref="H46:H51" si="5">((G46-I46)/I46)*100</f>
        <v>#DIV/0!</v>
      </c>
      <c r="I46" s="22">
        <v>0</v>
      </c>
      <c r="J46" s="23"/>
    </row>
    <row r="47" spans="2:11" x14ac:dyDescent="0.35">
      <c r="B47" s="43">
        <v>5</v>
      </c>
      <c r="C47" s="41" t="s">
        <v>23</v>
      </c>
      <c r="D47" s="27">
        <v>0</v>
      </c>
      <c r="E47" s="27">
        <v>0</v>
      </c>
      <c r="F47" s="65">
        <f>+E47+D47</f>
        <v>0</v>
      </c>
      <c r="G47" s="27">
        <f>+G46+F47</f>
        <v>0</v>
      </c>
      <c r="H47" s="66" t="e">
        <f t="shared" si="5"/>
        <v>#DIV/0!</v>
      </c>
      <c r="I47" s="27">
        <v>0</v>
      </c>
      <c r="J47" s="23"/>
    </row>
    <row r="48" spans="2:11" x14ac:dyDescent="0.35">
      <c r="B48" s="43">
        <v>6</v>
      </c>
      <c r="C48" s="41" t="s">
        <v>24</v>
      </c>
      <c r="D48" s="27">
        <v>15249.4</v>
      </c>
      <c r="E48" s="27">
        <v>0</v>
      </c>
      <c r="F48" s="65">
        <f>+E48+D48</f>
        <v>15249.4</v>
      </c>
      <c r="G48" s="27">
        <f t="shared" ref="G48" si="6">+G47+F48</f>
        <v>15249.4</v>
      </c>
      <c r="H48" s="66" t="e">
        <f t="shared" si="5"/>
        <v>#DIV/0!</v>
      </c>
      <c r="I48" s="27">
        <v>0</v>
      </c>
      <c r="J48" s="23"/>
    </row>
    <row r="49" spans="2:10" x14ac:dyDescent="0.35">
      <c r="B49" s="43">
        <v>7</v>
      </c>
      <c r="C49" s="41" t="s">
        <v>25</v>
      </c>
      <c r="D49" s="27">
        <v>0</v>
      </c>
      <c r="E49" s="27">
        <v>0</v>
      </c>
      <c r="F49" s="65">
        <f t="shared" ref="F49:F68" si="7">+E49+D49</f>
        <v>0</v>
      </c>
      <c r="G49" s="27">
        <f>+G48+F49</f>
        <v>15249.4</v>
      </c>
      <c r="H49" s="66" t="e">
        <f t="shared" si="5"/>
        <v>#DIV/0!</v>
      </c>
      <c r="I49" s="27">
        <v>0</v>
      </c>
      <c r="J49" s="23"/>
    </row>
    <row r="50" spans="2:10" x14ac:dyDescent="0.35">
      <c r="B50" s="43">
        <v>8</v>
      </c>
      <c r="C50" s="41" t="s">
        <v>26</v>
      </c>
      <c r="D50" s="27">
        <v>0</v>
      </c>
      <c r="E50" s="27">
        <v>0</v>
      </c>
      <c r="F50" s="65">
        <f t="shared" si="7"/>
        <v>0</v>
      </c>
      <c r="G50" s="27">
        <f t="shared" ref="G50:G51" si="8">+G49+F50</f>
        <v>15249.4</v>
      </c>
      <c r="H50" s="66" t="e">
        <f t="shared" si="5"/>
        <v>#DIV/0!</v>
      </c>
      <c r="I50" s="27">
        <v>0</v>
      </c>
      <c r="J50" s="23"/>
    </row>
    <row r="51" spans="2:10" x14ac:dyDescent="0.35">
      <c r="B51" s="43">
        <v>9</v>
      </c>
      <c r="C51" s="41" t="s">
        <v>27</v>
      </c>
      <c r="D51" s="27">
        <v>17556.5</v>
      </c>
      <c r="E51" s="27">
        <v>0</v>
      </c>
      <c r="F51" s="65">
        <f t="shared" si="7"/>
        <v>17556.5</v>
      </c>
      <c r="G51" s="68">
        <f t="shared" si="8"/>
        <v>32805.9</v>
      </c>
      <c r="H51" s="66" t="e">
        <f t="shared" si="5"/>
        <v>#DIV/0!</v>
      </c>
      <c r="I51" s="27">
        <v>0</v>
      </c>
      <c r="J51" s="23"/>
    </row>
    <row r="52" spans="2:10" hidden="1" x14ac:dyDescent="0.35">
      <c r="B52" s="11">
        <v>10</v>
      </c>
      <c r="C52" s="17" t="s">
        <v>50</v>
      </c>
      <c r="D52" s="25"/>
      <c r="E52" s="25"/>
      <c r="F52" s="26">
        <f t="shared" si="7"/>
        <v>0</v>
      </c>
      <c r="G52" s="25">
        <f t="shared" ref="G52:G68" si="9">+G51+F52</f>
        <v>32805.9</v>
      </c>
      <c r="H52" s="12">
        <v>0</v>
      </c>
      <c r="I52" s="27">
        <v>0</v>
      </c>
      <c r="J52" s="23"/>
    </row>
    <row r="53" spans="2:10" hidden="1" x14ac:dyDescent="0.35">
      <c r="B53" s="11">
        <v>11</v>
      </c>
      <c r="C53" s="17" t="s">
        <v>28</v>
      </c>
      <c r="D53" s="25"/>
      <c r="E53" s="25"/>
      <c r="F53" s="26">
        <f t="shared" si="7"/>
        <v>0</v>
      </c>
      <c r="G53" s="25">
        <f t="shared" si="9"/>
        <v>32805.9</v>
      </c>
      <c r="H53" s="12">
        <v>0</v>
      </c>
      <c r="I53" s="27">
        <v>0</v>
      </c>
      <c r="J53" s="23"/>
    </row>
    <row r="54" spans="2:10" hidden="1" x14ac:dyDescent="0.35">
      <c r="B54" s="11">
        <v>12</v>
      </c>
      <c r="C54" s="17" t="s">
        <v>29</v>
      </c>
      <c r="D54" s="25"/>
      <c r="E54" s="25"/>
      <c r="F54" s="26">
        <f t="shared" si="7"/>
        <v>0</v>
      </c>
      <c r="G54" s="25">
        <f t="shared" si="9"/>
        <v>32805.9</v>
      </c>
      <c r="H54" s="12">
        <v>0</v>
      </c>
      <c r="I54" s="27">
        <v>0</v>
      </c>
      <c r="J54" s="23"/>
    </row>
    <row r="55" spans="2:10" hidden="1" x14ac:dyDescent="0.35">
      <c r="B55" s="11">
        <v>13</v>
      </c>
      <c r="C55" s="17" t="s">
        <v>30</v>
      </c>
      <c r="D55" s="25"/>
      <c r="E55" s="25"/>
      <c r="F55" s="26">
        <f t="shared" si="7"/>
        <v>0</v>
      </c>
      <c r="G55" s="25">
        <f t="shared" si="9"/>
        <v>32805.9</v>
      </c>
      <c r="H55" s="12">
        <v>0</v>
      </c>
      <c r="I55" s="27">
        <v>0</v>
      </c>
      <c r="J55" s="23"/>
    </row>
    <row r="56" spans="2:10" hidden="1" x14ac:dyDescent="0.35">
      <c r="B56" s="11">
        <v>14</v>
      </c>
      <c r="C56" s="18" t="s">
        <v>31</v>
      </c>
      <c r="D56" s="25"/>
      <c r="E56" s="25"/>
      <c r="F56" s="26">
        <f t="shared" si="7"/>
        <v>0</v>
      </c>
      <c r="G56" s="25">
        <f t="shared" si="9"/>
        <v>32805.9</v>
      </c>
      <c r="H56" s="12">
        <v>0</v>
      </c>
      <c r="I56" s="27">
        <v>0</v>
      </c>
      <c r="J56" s="23"/>
    </row>
    <row r="57" spans="2:10" hidden="1" x14ac:dyDescent="0.35">
      <c r="B57" s="11">
        <v>15</v>
      </c>
      <c r="C57" s="17" t="s">
        <v>32</v>
      </c>
      <c r="D57" s="25"/>
      <c r="E57" s="25"/>
      <c r="F57" s="26">
        <f t="shared" si="7"/>
        <v>0</v>
      </c>
      <c r="G57" s="25">
        <f t="shared" si="9"/>
        <v>32805.9</v>
      </c>
      <c r="H57" s="12">
        <v>0</v>
      </c>
      <c r="I57" s="27">
        <v>0</v>
      </c>
      <c r="J57" s="23"/>
    </row>
    <row r="58" spans="2:10" hidden="1" x14ac:dyDescent="0.35">
      <c r="B58" s="11">
        <v>16</v>
      </c>
      <c r="C58" s="17" t="s">
        <v>33</v>
      </c>
      <c r="D58" s="25"/>
      <c r="E58" s="25"/>
      <c r="F58" s="26">
        <f t="shared" si="7"/>
        <v>0</v>
      </c>
      <c r="G58" s="25">
        <f t="shared" si="9"/>
        <v>32805.9</v>
      </c>
      <c r="H58" s="12">
        <v>0</v>
      </c>
      <c r="I58" s="27">
        <v>0</v>
      </c>
      <c r="J58" s="23"/>
    </row>
    <row r="59" spans="2:10" hidden="1" x14ac:dyDescent="0.35">
      <c r="B59" s="11">
        <v>17</v>
      </c>
      <c r="C59" s="17" t="s">
        <v>34</v>
      </c>
      <c r="D59" s="25"/>
      <c r="E59" s="25"/>
      <c r="F59" s="26">
        <f t="shared" si="7"/>
        <v>0</v>
      </c>
      <c r="G59" s="25">
        <f t="shared" si="9"/>
        <v>32805.9</v>
      </c>
      <c r="H59" s="12">
        <v>0</v>
      </c>
      <c r="I59" s="27">
        <v>0</v>
      </c>
      <c r="J59" s="23"/>
    </row>
    <row r="60" spans="2:10" hidden="1" x14ac:dyDescent="0.35">
      <c r="B60" s="11">
        <v>18</v>
      </c>
      <c r="C60" s="17" t="s">
        <v>35</v>
      </c>
      <c r="D60" s="25"/>
      <c r="E60" s="25"/>
      <c r="F60" s="26">
        <f t="shared" si="7"/>
        <v>0</v>
      </c>
      <c r="G60" s="25">
        <f t="shared" si="9"/>
        <v>32805.9</v>
      </c>
      <c r="H60" s="12">
        <v>0</v>
      </c>
      <c r="I60" s="27">
        <v>0</v>
      </c>
      <c r="J60" s="23"/>
    </row>
    <row r="61" spans="2:10" hidden="1" x14ac:dyDescent="0.35">
      <c r="B61" s="11">
        <v>19</v>
      </c>
      <c r="C61" s="17" t="s">
        <v>36</v>
      </c>
      <c r="D61" s="25"/>
      <c r="E61" s="25"/>
      <c r="F61" s="26">
        <f t="shared" si="7"/>
        <v>0</v>
      </c>
      <c r="G61" s="25">
        <f t="shared" si="9"/>
        <v>32805.9</v>
      </c>
      <c r="H61" s="12">
        <v>0</v>
      </c>
      <c r="I61" s="27">
        <v>0</v>
      </c>
      <c r="J61" s="23"/>
    </row>
    <row r="62" spans="2:10" hidden="1" x14ac:dyDescent="0.35">
      <c r="B62" s="11">
        <v>20</v>
      </c>
      <c r="C62" s="17" t="s">
        <v>37</v>
      </c>
      <c r="D62" s="25"/>
      <c r="E62" s="25"/>
      <c r="F62" s="26">
        <f t="shared" si="7"/>
        <v>0</v>
      </c>
      <c r="G62" s="25">
        <f t="shared" si="9"/>
        <v>32805.9</v>
      </c>
      <c r="H62" s="12">
        <v>0</v>
      </c>
      <c r="I62" s="27">
        <v>0</v>
      </c>
      <c r="J62" s="23"/>
    </row>
    <row r="63" spans="2:10" hidden="1" x14ac:dyDescent="0.35">
      <c r="B63" s="11">
        <v>21</v>
      </c>
      <c r="C63" s="17" t="s">
        <v>38</v>
      </c>
      <c r="D63" s="25"/>
      <c r="E63" s="25"/>
      <c r="F63" s="26">
        <f t="shared" si="7"/>
        <v>0</v>
      </c>
      <c r="G63" s="25">
        <f t="shared" si="9"/>
        <v>32805.9</v>
      </c>
      <c r="H63" s="12">
        <v>0</v>
      </c>
      <c r="I63" s="27">
        <v>0</v>
      </c>
      <c r="J63" s="23"/>
    </row>
    <row r="64" spans="2:10" hidden="1" x14ac:dyDescent="0.35">
      <c r="B64" s="11">
        <v>22</v>
      </c>
      <c r="C64" s="17" t="s">
        <v>39</v>
      </c>
      <c r="D64" s="25"/>
      <c r="E64" s="25"/>
      <c r="F64" s="26">
        <f t="shared" si="7"/>
        <v>0</v>
      </c>
      <c r="G64" s="25">
        <f t="shared" si="9"/>
        <v>32805.9</v>
      </c>
      <c r="H64" s="12">
        <v>0</v>
      </c>
      <c r="I64" s="27">
        <v>0</v>
      </c>
      <c r="J64" s="23"/>
    </row>
    <row r="65" spans="2:10" hidden="1" x14ac:dyDescent="0.35">
      <c r="B65" s="11">
        <v>23</v>
      </c>
      <c r="C65" s="17" t="s">
        <v>40</v>
      </c>
      <c r="D65" s="25"/>
      <c r="E65" s="25"/>
      <c r="F65" s="26">
        <f t="shared" si="7"/>
        <v>0</v>
      </c>
      <c r="G65" s="25">
        <f t="shared" si="9"/>
        <v>32805.9</v>
      </c>
      <c r="H65" s="12">
        <v>0</v>
      </c>
      <c r="I65" s="27">
        <v>0</v>
      </c>
      <c r="J65" s="23"/>
    </row>
    <row r="66" spans="2:10" hidden="1" x14ac:dyDescent="0.35">
      <c r="B66" s="11">
        <v>24</v>
      </c>
      <c r="C66" s="17" t="s">
        <v>41</v>
      </c>
      <c r="D66" s="25"/>
      <c r="E66" s="25"/>
      <c r="F66" s="26">
        <f t="shared" si="7"/>
        <v>0</v>
      </c>
      <c r="G66" s="25">
        <f t="shared" si="9"/>
        <v>32805.9</v>
      </c>
      <c r="H66" s="12">
        <v>0</v>
      </c>
      <c r="I66" s="27">
        <v>0</v>
      </c>
      <c r="J66" s="23"/>
    </row>
    <row r="67" spans="2:10" hidden="1" x14ac:dyDescent="0.35">
      <c r="B67" s="11">
        <v>25</v>
      </c>
      <c r="C67" s="19" t="s">
        <v>42</v>
      </c>
      <c r="D67" s="25"/>
      <c r="E67" s="25"/>
      <c r="F67" s="26">
        <f t="shared" si="7"/>
        <v>0</v>
      </c>
      <c r="G67" s="25">
        <f t="shared" si="9"/>
        <v>32805.9</v>
      </c>
      <c r="H67" s="12">
        <v>0</v>
      </c>
      <c r="I67" s="27">
        <v>0</v>
      </c>
      <c r="J67" s="23"/>
    </row>
    <row r="68" spans="2:10" hidden="1" x14ac:dyDescent="0.35">
      <c r="B68" s="29">
        <v>26</v>
      </c>
      <c r="C68" s="30" t="s">
        <v>43</v>
      </c>
      <c r="D68" s="31"/>
      <c r="E68" s="31"/>
      <c r="F68" s="32">
        <f t="shared" si="7"/>
        <v>0</v>
      </c>
      <c r="G68" s="31">
        <f t="shared" si="9"/>
        <v>32805.9</v>
      </c>
      <c r="H68" s="33">
        <v>0</v>
      </c>
      <c r="I68" s="34">
        <v>0</v>
      </c>
      <c r="J68" s="23"/>
    </row>
    <row r="69" spans="2:10" x14ac:dyDescent="0.35">
      <c r="B69" s="5"/>
      <c r="C69" s="5"/>
      <c r="D69" s="6"/>
      <c r="E69" s="6"/>
      <c r="F69" s="6"/>
      <c r="G69" s="6"/>
      <c r="H69" s="7"/>
      <c r="I69" s="6"/>
      <c r="J69" s="5"/>
    </row>
    <row r="70" spans="2:10" x14ac:dyDescent="0.35">
      <c r="B70" s="8" t="s">
        <v>44</v>
      </c>
      <c r="C70" s="5"/>
      <c r="D70" s="5"/>
      <c r="E70" s="5"/>
      <c r="F70" s="5"/>
      <c r="G70" s="5"/>
      <c r="H70" s="5"/>
      <c r="I70" s="5"/>
      <c r="J70" s="5"/>
    </row>
    <row r="71" spans="2:10" x14ac:dyDescent="0.35">
      <c r="B71" s="9" t="s">
        <v>45</v>
      </c>
      <c r="C71" s="5"/>
      <c r="D71" s="5"/>
      <c r="E71" s="5"/>
      <c r="F71" s="5"/>
      <c r="G71" s="5"/>
      <c r="H71" s="5"/>
      <c r="I71" s="5"/>
      <c r="J71" s="5"/>
    </row>
    <row r="72" spans="2:10" x14ac:dyDescent="0.35">
      <c r="B72" s="9" t="s">
        <v>46</v>
      </c>
      <c r="C72" s="5"/>
      <c r="D72" s="5"/>
      <c r="E72" s="5"/>
      <c r="F72" s="5"/>
      <c r="G72" s="5"/>
      <c r="H72" s="5"/>
      <c r="I72" s="5"/>
      <c r="J72" s="5"/>
    </row>
    <row r="73" spans="2:10" x14ac:dyDescent="0.35">
      <c r="B73" s="9" t="s">
        <v>47</v>
      </c>
      <c r="C73" s="5"/>
      <c r="D73" s="5"/>
      <c r="E73" s="5"/>
      <c r="F73" s="5"/>
      <c r="G73" s="5"/>
      <c r="H73" s="5"/>
      <c r="I73" s="5"/>
      <c r="J73" s="5"/>
    </row>
    <row r="74" spans="2:10" x14ac:dyDescent="0.35">
      <c r="B74" s="10"/>
      <c r="C74" s="10"/>
      <c r="D74" s="10"/>
      <c r="E74" s="10"/>
      <c r="F74" s="10"/>
      <c r="G74" s="10"/>
      <c r="H74" s="10"/>
      <c r="I74" s="10"/>
      <c r="J74" s="10"/>
    </row>
    <row r="75" spans="2:10" x14ac:dyDescent="0.35">
      <c r="B75" s="10"/>
      <c r="C75" s="10"/>
      <c r="D75" s="10"/>
      <c r="E75" s="10"/>
      <c r="F75" s="10"/>
      <c r="G75" s="10"/>
      <c r="H75" s="10"/>
      <c r="I75" s="10"/>
      <c r="J75" s="10"/>
    </row>
    <row r="76" spans="2:10" ht="18.5" x14ac:dyDescent="0.45">
      <c r="B76" s="10"/>
      <c r="C76" s="10"/>
      <c r="D76" s="165" t="s">
        <v>51</v>
      </c>
      <c r="E76" s="165"/>
      <c r="F76" s="165"/>
      <c r="G76" s="165"/>
      <c r="H76" s="165"/>
      <c r="I76" s="165"/>
      <c r="J76" s="10"/>
    </row>
    <row r="77" spans="2:10" s="38" customFormat="1" ht="16" x14ac:dyDescent="0.4">
      <c r="B77" s="28"/>
      <c r="C77" s="28"/>
      <c r="D77" s="166" t="s">
        <v>58</v>
      </c>
      <c r="E77" s="166"/>
      <c r="F77" s="166"/>
      <c r="G77" s="166"/>
      <c r="H77" s="166"/>
      <c r="I77" s="166"/>
      <c r="J77" s="28"/>
    </row>
    <row r="78" spans="2:10" ht="15.9" customHeight="1" x14ac:dyDescent="0.4">
      <c r="B78" s="124" t="s">
        <v>6</v>
      </c>
      <c r="C78" s="124"/>
      <c r="D78" s="124"/>
      <c r="E78" s="124"/>
      <c r="F78" s="124"/>
      <c r="G78" s="124"/>
      <c r="H78" s="124"/>
      <c r="I78" s="124"/>
      <c r="J78" s="124"/>
    </row>
    <row r="79" spans="2:10" ht="14.4" customHeight="1" x14ac:dyDescent="0.35">
      <c r="B79" s="15"/>
      <c r="C79" s="16"/>
      <c r="D79" s="148" t="s">
        <v>7</v>
      </c>
      <c r="E79" s="149"/>
      <c r="F79" s="149"/>
      <c r="G79" s="150"/>
      <c r="H79" s="151" t="s">
        <v>8</v>
      </c>
      <c r="I79" s="152"/>
      <c r="J79" s="4"/>
    </row>
    <row r="80" spans="2:10" x14ac:dyDescent="0.35">
      <c r="B80" s="13"/>
      <c r="C80" s="14"/>
      <c r="D80" s="155" t="s">
        <v>10</v>
      </c>
      <c r="E80" s="156"/>
      <c r="F80" s="156"/>
      <c r="G80" s="157"/>
      <c r="H80" s="153"/>
      <c r="I80" s="154"/>
      <c r="J80" s="4"/>
    </row>
    <row r="81" spans="2:10" ht="14.4" customHeight="1" x14ac:dyDescent="0.35">
      <c r="B81" s="128" t="s">
        <v>11</v>
      </c>
      <c r="C81" s="130" t="s">
        <v>12</v>
      </c>
      <c r="D81" s="20" t="s">
        <v>13</v>
      </c>
      <c r="E81" s="20" t="s">
        <v>14</v>
      </c>
      <c r="F81" s="20" t="s">
        <v>15</v>
      </c>
      <c r="G81" s="20" t="s">
        <v>16</v>
      </c>
      <c r="H81" s="158" t="s">
        <v>17</v>
      </c>
      <c r="I81" s="130" t="s">
        <v>18</v>
      </c>
      <c r="J81" s="21"/>
    </row>
    <row r="82" spans="2:10" ht="40.4" customHeight="1" x14ac:dyDescent="0.35">
      <c r="B82" s="129"/>
      <c r="C82" s="131"/>
      <c r="D82" s="160" t="s">
        <v>21</v>
      </c>
      <c r="E82" s="161"/>
      <c r="F82" s="161"/>
      <c r="G82" s="162"/>
      <c r="H82" s="159"/>
      <c r="I82" s="131"/>
      <c r="J82" s="21"/>
    </row>
    <row r="83" spans="2:10" x14ac:dyDescent="0.35">
      <c r="B83" s="43">
        <v>4</v>
      </c>
      <c r="C83" s="41" t="s">
        <v>22</v>
      </c>
      <c r="D83" s="22">
        <v>0</v>
      </c>
      <c r="E83" s="22">
        <v>0</v>
      </c>
      <c r="F83" s="61">
        <f>+D83+E83</f>
        <v>0</v>
      </c>
      <c r="G83" s="22">
        <f>+F83</f>
        <v>0</v>
      </c>
      <c r="H83" s="62" t="s">
        <v>59</v>
      </c>
      <c r="I83" s="22">
        <v>0</v>
      </c>
      <c r="J83" s="23"/>
    </row>
    <row r="84" spans="2:10" x14ac:dyDescent="0.35">
      <c r="B84" s="43">
        <v>5</v>
      </c>
      <c r="C84" s="41" t="s">
        <v>23</v>
      </c>
      <c r="D84" s="27">
        <v>245586</v>
      </c>
      <c r="E84" s="27">
        <v>0</v>
      </c>
      <c r="F84" s="65">
        <f>+E84+D84</f>
        <v>245586</v>
      </c>
      <c r="G84" s="27">
        <f>+G83+F84</f>
        <v>245586</v>
      </c>
      <c r="H84" s="66">
        <f t="shared" ref="H84:H88" si="10">((G84-I84)/I84)*100</f>
        <v>381.03184863086142</v>
      </c>
      <c r="I84" s="27">
        <v>51054</v>
      </c>
      <c r="J84" s="23"/>
    </row>
    <row r="85" spans="2:10" x14ac:dyDescent="0.35">
      <c r="B85" s="43">
        <v>6</v>
      </c>
      <c r="C85" s="41" t="s">
        <v>24</v>
      </c>
      <c r="D85" s="27">
        <v>297586.5</v>
      </c>
      <c r="E85" s="27">
        <v>0</v>
      </c>
      <c r="F85" s="65">
        <f>+E85+D85</f>
        <v>297586.5</v>
      </c>
      <c r="G85" s="27">
        <f t="shared" ref="G85" si="11">+G84+F85</f>
        <v>543172.5</v>
      </c>
      <c r="H85" s="66">
        <f t="shared" si="10"/>
        <v>27.480294355449107</v>
      </c>
      <c r="I85" s="27">
        <f>+I84+375029.5</f>
        <v>426083.5</v>
      </c>
      <c r="J85" s="23"/>
    </row>
    <row r="86" spans="2:10" x14ac:dyDescent="0.35">
      <c r="B86" s="43">
        <v>7</v>
      </c>
      <c r="C86" s="41" t="s">
        <v>25</v>
      </c>
      <c r="D86" s="27">
        <v>309034</v>
      </c>
      <c r="E86" s="27">
        <v>217067</v>
      </c>
      <c r="F86" s="65">
        <f t="shared" ref="F86:F105" si="12">+E86+D86</f>
        <v>526101</v>
      </c>
      <c r="G86" s="27">
        <f>+G85+F86</f>
        <v>1069273.5</v>
      </c>
      <c r="H86" s="66">
        <f t="shared" si="10"/>
        <v>38.350121300339637</v>
      </c>
      <c r="I86" s="27">
        <f>+I85+346791.5</f>
        <v>772875</v>
      </c>
      <c r="J86" s="23"/>
    </row>
    <row r="87" spans="2:10" x14ac:dyDescent="0.35">
      <c r="B87" s="43">
        <v>8</v>
      </c>
      <c r="C87" s="41" t="s">
        <v>26</v>
      </c>
      <c r="D87" s="27">
        <v>480779</v>
      </c>
      <c r="E87" s="27">
        <v>0</v>
      </c>
      <c r="F87" s="65">
        <f t="shared" si="12"/>
        <v>480779</v>
      </c>
      <c r="G87" s="27">
        <f t="shared" ref="G87:G88" si="13">+G86+F87</f>
        <v>1550052.5</v>
      </c>
      <c r="H87" s="66">
        <f t="shared" si="10"/>
        <v>15.603005874671194</v>
      </c>
      <c r="I87" s="27">
        <v>1340841</v>
      </c>
      <c r="J87" s="23"/>
    </row>
    <row r="88" spans="2:10" x14ac:dyDescent="0.35">
      <c r="B88" s="43">
        <v>9</v>
      </c>
      <c r="C88" s="41" t="s">
        <v>27</v>
      </c>
      <c r="D88" s="27">
        <v>212970.5</v>
      </c>
      <c r="E88" s="27">
        <v>0</v>
      </c>
      <c r="F88" s="65">
        <f t="shared" si="12"/>
        <v>212970.5</v>
      </c>
      <c r="G88" s="69">
        <f t="shared" si="13"/>
        <v>1763023</v>
      </c>
      <c r="H88" s="66">
        <f t="shared" si="10"/>
        <v>10.243301227918018</v>
      </c>
      <c r="I88" s="27">
        <f>+I87+258370</f>
        <v>1599211</v>
      </c>
      <c r="J88" s="23"/>
    </row>
    <row r="89" spans="2:10" hidden="1" x14ac:dyDescent="0.35">
      <c r="B89" s="11">
        <v>10</v>
      </c>
      <c r="C89" s="17" t="s">
        <v>50</v>
      </c>
      <c r="D89" s="25"/>
      <c r="E89" s="25"/>
      <c r="F89" s="26">
        <f t="shared" si="12"/>
        <v>0</v>
      </c>
      <c r="G89" s="25">
        <f t="shared" ref="G89:G105" si="14">+G88+F89</f>
        <v>1763023</v>
      </c>
      <c r="H89" s="12">
        <v>0</v>
      </c>
      <c r="I89" s="27">
        <v>0</v>
      </c>
      <c r="J89" s="23"/>
    </row>
    <row r="90" spans="2:10" hidden="1" x14ac:dyDescent="0.35">
      <c r="B90" s="11">
        <v>11</v>
      </c>
      <c r="C90" s="17" t="s">
        <v>28</v>
      </c>
      <c r="D90" s="25"/>
      <c r="E90" s="25"/>
      <c r="F90" s="26">
        <f t="shared" si="12"/>
        <v>0</v>
      </c>
      <c r="G90" s="25">
        <f t="shared" si="14"/>
        <v>1763023</v>
      </c>
      <c r="H90" s="12">
        <v>0</v>
      </c>
      <c r="I90" s="27">
        <v>0</v>
      </c>
      <c r="J90" s="23"/>
    </row>
    <row r="91" spans="2:10" hidden="1" x14ac:dyDescent="0.35">
      <c r="B91" s="11">
        <v>12</v>
      </c>
      <c r="C91" s="17" t="s">
        <v>29</v>
      </c>
      <c r="D91" s="25"/>
      <c r="E91" s="25"/>
      <c r="F91" s="26">
        <f t="shared" si="12"/>
        <v>0</v>
      </c>
      <c r="G91" s="25">
        <f t="shared" si="14"/>
        <v>1763023</v>
      </c>
      <c r="H91" s="12">
        <v>0</v>
      </c>
      <c r="I91" s="27">
        <v>0</v>
      </c>
      <c r="J91" s="23"/>
    </row>
    <row r="92" spans="2:10" hidden="1" x14ac:dyDescent="0.35">
      <c r="B92" s="11">
        <v>13</v>
      </c>
      <c r="C92" s="17" t="s">
        <v>30</v>
      </c>
      <c r="D92" s="25"/>
      <c r="E92" s="25"/>
      <c r="F92" s="26">
        <f t="shared" si="12"/>
        <v>0</v>
      </c>
      <c r="G92" s="25">
        <f t="shared" si="14"/>
        <v>1763023</v>
      </c>
      <c r="H92" s="12">
        <v>0</v>
      </c>
      <c r="I92" s="27">
        <v>0</v>
      </c>
      <c r="J92" s="23"/>
    </row>
    <row r="93" spans="2:10" hidden="1" x14ac:dyDescent="0.35">
      <c r="B93" s="11">
        <v>14</v>
      </c>
      <c r="C93" s="18" t="s">
        <v>31</v>
      </c>
      <c r="D93" s="25"/>
      <c r="E93" s="25"/>
      <c r="F93" s="26">
        <f t="shared" si="12"/>
        <v>0</v>
      </c>
      <c r="G93" s="25">
        <f t="shared" si="14"/>
        <v>1763023</v>
      </c>
      <c r="H93" s="12">
        <v>0</v>
      </c>
      <c r="I93" s="27">
        <v>0</v>
      </c>
      <c r="J93" s="23"/>
    </row>
    <row r="94" spans="2:10" hidden="1" x14ac:dyDescent="0.35">
      <c r="B94" s="11">
        <v>15</v>
      </c>
      <c r="C94" s="17" t="s">
        <v>32</v>
      </c>
      <c r="D94" s="25"/>
      <c r="E94" s="25"/>
      <c r="F94" s="26">
        <f t="shared" si="12"/>
        <v>0</v>
      </c>
      <c r="G94" s="25">
        <f t="shared" si="14"/>
        <v>1763023</v>
      </c>
      <c r="H94" s="12">
        <v>0</v>
      </c>
      <c r="I94" s="27">
        <v>0</v>
      </c>
      <c r="J94" s="23"/>
    </row>
    <row r="95" spans="2:10" hidden="1" x14ac:dyDescent="0.35">
      <c r="B95" s="11">
        <v>16</v>
      </c>
      <c r="C95" s="17" t="s">
        <v>33</v>
      </c>
      <c r="D95" s="25"/>
      <c r="E95" s="25"/>
      <c r="F95" s="26">
        <f t="shared" si="12"/>
        <v>0</v>
      </c>
      <c r="G95" s="25">
        <f t="shared" si="14"/>
        <v>1763023</v>
      </c>
      <c r="H95" s="12">
        <v>0</v>
      </c>
      <c r="I95" s="27">
        <v>0</v>
      </c>
      <c r="J95" s="23"/>
    </row>
    <row r="96" spans="2:10" hidden="1" x14ac:dyDescent="0.35">
      <c r="B96" s="11">
        <v>17</v>
      </c>
      <c r="C96" s="17" t="s">
        <v>34</v>
      </c>
      <c r="D96" s="25"/>
      <c r="E96" s="25"/>
      <c r="F96" s="26">
        <f t="shared" si="12"/>
        <v>0</v>
      </c>
      <c r="G96" s="25">
        <f t="shared" si="14"/>
        <v>1763023</v>
      </c>
      <c r="H96" s="12">
        <v>0</v>
      </c>
      <c r="I96" s="27">
        <v>0</v>
      </c>
      <c r="J96" s="23"/>
    </row>
    <row r="97" spans="2:10" hidden="1" x14ac:dyDescent="0.35">
      <c r="B97" s="11">
        <v>18</v>
      </c>
      <c r="C97" s="17" t="s">
        <v>35</v>
      </c>
      <c r="D97" s="25"/>
      <c r="E97" s="25"/>
      <c r="F97" s="26">
        <f t="shared" si="12"/>
        <v>0</v>
      </c>
      <c r="G97" s="25">
        <f t="shared" si="14"/>
        <v>1763023</v>
      </c>
      <c r="H97" s="12">
        <v>0</v>
      </c>
      <c r="I97" s="27">
        <v>0</v>
      </c>
      <c r="J97" s="23"/>
    </row>
    <row r="98" spans="2:10" hidden="1" x14ac:dyDescent="0.35">
      <c r="B98" s="11">
        <v>19</v>
      </c>
      <c r="C98" s="17" t="s">
        <v>36</v>
      </c>
      <c r="D98" s="25"/>
      <c r="E98" s="25"/>
      <c r="F98" s="26">
        <f t="shared" si="12"/>
        <v>0</v>
      </c>
      <c r="G98" s="25">
        <f t="shared" si="14"/>
        <v>1763023</v>
      </c>
      <c r="H98" s="12">
        <v>0</v>
      </c>
      <c r="I98" s="27">
        <v>0</v>
      </c>
      <c r="J98" s="23"/>
    </row>
    <row r="99" spans="2:10" hidden="1" x14ac:dyDescent="0.35">
      <c r="B99" s="11">
        <v>20</v>
      </c>
      <c r="C99" s="17" t="s">
        <v>37</v>
      </c>
      <c r="D99" s="25"/>
      <c r="E99" s="25"/>
      <c r="F99" s="26">
        <f t="shared" si="12"/>
        <v>0</v>
      </c>
      <c r="G99" s="25">
        <f t="shared" si="14"/>
        <v>1763023</v>
      </c>
      <c r="H99" s="12">
        <v>0</v>
      </c>
      <c r="I99" s="27">
        <v>0</v>
      </c>
      <c r="J99" s="23"/>
    </row>
    <row r="100" spans="2:10" hidden="1" x14ac:dyDescent="0.35">
      <c r="B100" s="11">
        <v>21</v>
      </c>
      <c r="C100" s="17" t="s">
        <v>38</v>
      </c>
      <c r="D100" s="25"/>
      <c r="E100" s="25"/>
      <c r="F100" s="26">
        <f t="shared" si="12"/>
        <v>0</v>
      </c>
      <c r="G100" s="25">
        <f t="shared" si="14"/>
        <v>1763023</v>
      </c>
      <c r="H100" s="12">
        <v>0</v>
      </c>
      <c r="I100" s="27">
        <v>0</v>
      </c>
      <c r="J100" s="23"/>
    </row>
    <row r="101" spans="2:10" hidden="1" x14ac:dyDescent="0.35">
      <c r="B101" s="11">
        <v>22</v>
      </c>
      <c r="C101" s="17" t="s">
        <v>39</v>
      </c>
      <c r="D101" s="25"/>
      <c r="E101" s="25"/>
      <c r="F101" s="26">
        <f t="shared" si="12"/>
        <v>0</v>
      </c>
      <c r="G101" s="25">
        <f t="shared" si="14"/>
        <v>1763023</v>
      </c>
      <c r="H101" s="12">
        <v>0</v>
      </c>
      <c r="I101" s="27">
        <v>0</v>
      </c>
      <c r="J101" s="23"/>
    </row>
    <row r="102" spans="2:10" hidden="1" x14ac:dyDescent="0.35">
      <c r="B102" s="11">
        <v>23</v>
      </c>
      <c r="C102" s="17" t="s">
        <v>40</v>
      </c>
      <c r="D102" s="25"/>
      <c r="E102" s="25"/>
      <c r="F102" s="26">
        <f t="shared" si="12"/>
        <v>0</v>
      </c>
      <c r="G102" s="25">
        <f t="shared" si="14"/>
        <v>1763023</v>
      </c>
      <c r="H102" s="12">
        <v>0</v>
      </c>
      <c r="I102" s="27">
        <v>0</v>
      </c>
      <c r="J102" s="23"/>
    </row>
    <row r="103" spans="2:10" hidden="1" x14ac:dyDescent="0.35">
      <c r="B103" s="11">
        <v>24</v>
      </c>
      <c r="C103" s="17" t="s">
        <v>41</v>
      </c>
      <c r="D103" s="25"/>
      <c r="E103" s="25"/>
      <c r="F103" s="26">
        <f t="shared" si="12"/>
        <v>0</v>
      </c>
      <c r="G103" s="25">
        <f t="shared" si="14"/>
        <v>1763023</v>
      </c>
      <c r="H103" s="12">
        <v>0</v>
      </c>
      <c r="I103" s="27">
        <v>0</v>
      </c>
      <c r="J103" s="23"/>
    </row>
    <row r="104" spans="2:10" hidden="1" x14ac:dyDescent="0.35">
      <c r="B104" s="11">
        <v>25</v>
      </c>
      <c r="C104" s="19" t="s">
        <v>42</v>
      </c>
      <c r="D104" s="25"/>
      <c r="E104" s="25"/>
      <c r="F104" s="26">
        <f t="shared" si="12"/>
        <v>0</v>
      </c>
      <c r="G104" s="25">
        <f t="shared" si="14"/>
        <v>1763023</v>
      </c>
      <c r="H104" s="12">
        <v>0</v>
      </c>
      <c r="I104" s="27">
        <v>0</v>
      </c>
      <c r="J104" s="23"/>
    </row>
    <row r="105" spans="2:10" hidden="1" x14ac:dyDescent="0.35">
      <c r="B105" s="29">
        <v>26</v>
      </c>
      <c r="C105" s="30" t="s">
        <v>43</v>
      </c>
      <c r="D105" s="31"/>
      <c r="E105" s="31"/>
      <c r="F105" s="32">
        <f t="shared" si="12"/>
        <v>0</v>
      </c>
      <c r="G105" s="31">
        <f t="shared" si="14"/>
        <v>1763023</v>
      </c>
      <c r="H105" s="33">
        <v>0</v>
      </c>
      <c r="I105" s="34">
        <v>0</v>
      </c>
      <c r="J105" s="23"/>
    </row>
    <row r="106" spans="2:10" x14ac:dyDescent="0.35">
      <c r="B106" s="5"/>
      <c r="C106" s="5"/>
      <c r="D106" s="6"/>
      <c r="E106" s="6"/>
      <c r="F106" s="6"/>
      <c r="G106" s="6"/>
      <c r="H106" s="7"/>
      <c r="I106" s="6"/>
      <c r="J106" s="5"/>
    </row>
    <row r="107" spans="2:10" x14ac:dyDescent="0.35">
      <c r="B107" s="8" t="s">
        <v>44</v>
      </c>
      <c r="C107" s="5"/>
      <c r="D107" s="5"/>
      <c r="E107" s="5"/>
      <c r="F107" s="5"/>
      <c r="G107" s="5"/>
      <c r="H107" s="5"/>
      <c r="I107" s="5"/>
      <c r="J107" s="5"/>
    </row>
    <row r="108" spans="2:10" x14ac:dyDescent="0.35">
      <c r="B108" s="9" t="s">
        <v>45</v>
      </c>
      <c r="C108" s="5"/>
      <c r="D108" s="5"/>
      <c r="E108" s="5"/>
      <c r="F108" s="5"/>
      <c r="G108" s="5"/>
      <c r="H108" s="5"/>
      <c r="I108" s="5"/>
      <c r="J108" s="5"/>
    </row>
    <row r="109" spans="2:10" x14ac:dyDescent="0.35">
      <c r="B109" s="9" t="s">
        <v>46</v>
      </c>
      <c r="C109" s="5"/>
      <c r="D109" s="5"/>
      <c r="E109" s="5"/>
      <c r="F109" s="5"/>
      <c r="G109" s="5"/>
      <c r="H109" s="5"/>
      <c r="I109" s="5"/>
      <c r="J109" s="5"/>
    </row>
    <row r="110" spans="2:10" x14ac:dyDescent="0.35">
      <c r="B110" s="9" t="s">
        <v>47</v>
      </c>
      <c r="C110" s="5"/>
      <c r="D110" s="5"/>
      <c r="E110" s="5"/>
      <c r="F110" s="5"/>
      <c r="G110" s="5"/>
      <c r="H110" s="5"/>
      <c r="I110" s="5"/>
      <c r="J110" s="5"/>
    </row>
    <row r="113" spans="2:10" ht="18.5" x14ac:dyDescent="0.45">
      <c r="B113" s="10"/>
      <c r="C113" s="10"/>
      <c r="D113" s="167" t="s">
        <v>52</v>
      </c>
      <c r="E113" s="167"/>
      <c r="F113" s="167"/>
      <c r="G113" s="167"/>
      <c r="H113" s="167"/>
      <c r="I113" s="167"/>
      <c r="J113" s="10"/>
    </row>
    <row r="114" spans="2:10" s="38" customFormat="1" ht="16" x14ac:dyDescent="0.4">
      <c r="B114" s="28"/>
      <c r="C114" s="28"/>
      <c r="D114" s="168" t="s">
        <v>58</v>
      </c>
      <c r="E114" s="168"/>
      <c r="F114" s="168"/>
      <c r="G114" s="168"/>
      <c r="H114" s="168"/>
      <c r="I114" s="168"/>
      <c r="J114" s="28"/>
    </row>
    <row r="115" spans="2:10" ht="15.9" customHeight="1" x14ac:dyDescent="0.4">
      <c r="B115" s="124" t="s">
        <v>6</v>
      </c>
      <c r="C115" s="124"/>
      <c r="D115" s="124"/>
      <c r="E115" s="124"/>
      <c r="F115" s="124"/>
      <c r="G115" s="124"/>
      <c r="H115" s="124"/>
      <c r="I115" s="124"/>
      <c r="J115" s="124"/>
    </row>
    <row r="116" spans="2:10" ht="14.4" customHeight="1" x14ac:dyDescent="0.35">
      <c r="B116" s="15"/>
      <c r="C116" s="16"/>
      <c r="D116" s="148" t="s">
        <v>7</v>
      </c>
      <c r="E116" s="149"/>
      <c r="F116" s="149"/>
      <c r="G116" s="150"/>
      <c r="H116" s="151" t="s">
        <v>8</v>
      </c>
      <c r="I116" s="152"/>
      <c r="J116" s="4"/>
    </row>
    <row r="117" spans="2:10" x14ac:dyDescent="0.35">
      <c r="B117" s="13"/>
      <c r="C117" s="14"/>
      <c r="D117" s="155" t="s">
        <v>10</v>
      </c>
      <c r="E117" s="156"/>
      <c r="F117" s="156"/>
      <c r="G117" s="157"/>
      <c r="H117" s="153"/>
      <c r="I117" s="154"/>
      <c r="J117" s="4"/>
    </row>
    <row r="118" spans="2:10" ht="14.4" customHeight="1" x14ac:dyDescent="0.35">
      <c r="B118" s="128" t="s">
        <v>11</v>
      </c>
      <c r="C118" s="130" t="s">
        <v>12</v>
      </c>
      <c r="D118" s="20" t="s">
        <v>13</v>
      </c>
      <c r="E118" s="20" t="s">
        <v>14</v>
      </c>
      <c r="F118" s="20" t="s">
        <v>15</v>
      </c>
      <c r="G118" s="20" t="s">
        <v>16</v>
      </c>
      <c r="H118" s="158" t="s">
        <v>17</v>
      </c>
      <c r="I118" s="130" t="s">
        <v>18</v>
      </c>
      <c r="J118" s="21"/>
    </row>
    <row r="119" spans="2:10" ht="39" customHeight="1" x14ac:dyDescent="0.35">
      <c r="B119" s="129"/>
      <c r="C119" s="131"/>
      <c r="D119" s="160" t="s">
        <v>21</v>
      </c>
      <c r="E119" s="161"/>
      <c r="F119" s="161"/>
      <c r="G119" s="162"/>
      <c r="H119" s="159"/>
      <c r="I119" s="131"/>
      <c r="J119" s="21"/>
    </row>
    <row r="120" spans="2:10" x14ac:dyDescent="0.35">
      <c r="B120" s="43">
        <v>4</v>
      </c>
      <c r="C120" s="41" t="s">
        <v>22</v>
      </c>
      <c r="D120" s="22">
        <v>0</v>
      </c>
      <c r="E120" s="22">
        <v>0</v>
      </c>
      <c r="F120" s="61">
        <f>+D120+E120</f>
        <v>0</v>
      </c>
      <c r="G120" s="22">
        <f>+F120</f>
        <v>0</v>
      </c>
      <c r="H120" s="62" t="e">
        <f t="shared" ref="H120:H125" si="15">((G120-I120)/I120)*100</f>
        <v>#DIV/0!</v>
      </c>
      <c r="I120" s="22">
        <v>0</v>
      </c>
      <c r="J120" s="23"/>
    </row>
    <row r="121" spans="2:10" x14ac:dyDescent="0.35">
      <c r="B121" s="43">
        <v>5</v>
      </c>
      <c r="C121" s="41" t="s">
        <v>23</v>
      </c>
      <c r="D121" s="27">
        <v>0</v>
      </c>
      <c r="E121" s="27">
        <v>0</v>
      </c>
      <c r="F121" s="65">
        <f>+E121+D121</f>
        <v>0</v>
      </c>
      <c r="G121" s="27">
        <f>+G120+F121</f>
        <v>0</v>
      </c>
      <c r="H121" s="66" t="e">
        <f t="shared" si="15"/>
        <v>#DIV/0!</v>
      </c>
      <c r="I121" s="27">
        <v>0</v>
      </c>
      <c r="J121" s="23"/>
    </row>
    <row r="122" spans="2:10" x14ac:dyDescent="0.35">
      <c r="B122" s="43">
        <v>6</v>
      </c>
      <c r="C122" s="41" t="s">
        <v>24</v>
      </c>
      <c r="D122" s="27">
        <v>0</v>
      </c>
      <c r="E122" s="27">
        <v>0</v>
      </c>
      <c r="F122" s="65">
        <f>+E122+D122</f>
        <v>0</v>
      </c>
      <c r="G122" s="27">
        <f t="shared" ref="G122" si="16">+G121+F122</f>
        <v>0</v>
      </c>
      <c r="H122" s="66" t="e">
        <f t="shared" si="15"/>
        <v>#DIV/0!</v>
      </c>
      <c r="I122" s="27">
        <v>0</v>
      </c>
      <c r="J122" s="23"/>
    </row>
    <row r="123" spans="2:10" x14ac:dyDescent="0.35">
      <c r="B123" s="43">
        <v>7</v>
      </c>
      <c r="C123" s="41" t="s">
        <v>25</v>
      </c>
      <c r="D123" s="27">
        <v>0</v>
      </c>
      <c r="E123" s="27">
        <v>0</v>
      </c>
      <c r="F123" s="65">
        <f t="shared" ref="F123:F142" si="17">+E123+D123</f>
        <v>0</v>
      </c>
      <c r="G123" s="27">
        <v>0</v>
      </c>
      <c r="H123" s="66" t="e">
        <f t="shared" si="15"/>
        <v>#DIV/0!</v>
      </c>
      <c r="I123" s="27">
        <v>0</v>
      </c>
      <c r="J123" s="23"/>
    </row>
    <row r="124" spans="2:10" x14ac:dyDescent="0.35">
      <c r="B124" s="43">
        <v>8</v>
      </c>
      <c r="C124" s="41" t="s">
        <v>26</v>
      </c>
      <c r="D124" s="27">
        <v>0</v>
      </c>
      <c r="E124" s="27">
        <v>0</v>
      </c>
      <c r="F124" s="65">
        <f t="shared" si="17"/>
        <v>0</v>
      </c>
      <c r="G124" s="27">
        <f t="shared" ref="G124:G125" si="18">+G123+F124</f>
        <v>0</v>
      </c>
      <c r="H124" s="66" t="e">
        <f t="shared" si="15"/>
        <v>#DIV/0!</v>
      </c>
      <c r="I124" s="27">
        <v>0</v>
      </c>
      <c r="J124" s="23"/>
    </row>
    <row r="125" spans="2:10" x14ac:dyDescent="0.35">
      <c r="B125" s="43">
        <v>9</v>
      </c>
      <c r="C125" s="41" t="s">
        <v>27</v>
      </c>
      <c r="D125" s="27">
        <v>0</v>
      </c>
      <c r="E125" s="27">
        <v>0</v>
      </c>
      <c r="F125" s="65">
        <f t="shared" si="17"/>
        <v>0</v>
      </c>
      <c r="G125" s="70">
        <f t="shared" si="18"/>
        <v>0</v>
      </c>
      <c r="H125" s="66" t="e">
        <f t="shared" si="15"/>
        <v>#DIV/0!</v>
      </c>
      <c r="I125" s="27">
        <v>0</v>
      </c>
      <c r="J125" s="23"/>
    </row>
    <row r="126" spans="2:10" hidden="1" x14ac:dyDescent="0.35">
      <c r="B126" s="11">
        <v>10</v>
      </c>
      <c r="C126" s="17" t="s">
        <v>50</v>
      </c>
      <c r="D126" s="25"/>
      <c r="E126" s="25"/>
      <c r="F126" s="26">
        <f t="shared" si="17"/>
        <v>0</v>
      </c>
      <c r="G126" s="25">
        <f t="shared" ref="G126:G142" si="19">+G125+F126</f>
        <v>0</v>
      </c>
      <c r="H126" s="12">
        <v>0</v>
      </c>
      <c r="I126" s="27">
        <v>0</v>
      </c>
      <c r="J126" s="23"/>
    </row>
    <row r="127" spans="2:10" hidden="1" x14ac:dyDescent="0.35">
      <c r="B127" s="11">
        <v>11</v>
      </c>
      <c r="C127" s="17" t="s">
        <v>28</v>
      </c>
      <c r="D127" s="25"/>
      <c r="E127" s="25"/>
      <c r="F127" s="26">
        <f t="shared" si="17"/>
        <v>0</v>
      </c>
      <c r="G127" s="25">
        <f t="shared" si="19"/>
        <v>0</v>
      </c>
      <c r="H127" s="12">
        <v>0</v>
      </c>
      <c r="I127" s="27">
        <v>0</v>
      </c>
      <c r="J127" s="23"/>
    </row>
    <row r="128" spans="2:10" hidden="1" x14ac:dyDescent="0.35">
      <c r="B128" s="11">
        <v>12</v>
      </c>
      <c r="C128" s="17" t="s">
        <v>29</v>
      </c>
      <c r="D128" s="25"/>
      <c r="E128" s="25"/>
      <c r="F128" s="26">
        <f t="shared" si="17"/>
        <v>0</v>
      </c>
      <c r="G128" s="25">
        <f t="shared" si="19"/>
        <v>0</v>
      </c>
      <c r="H128" s="12">
        <v>0</v>
      </c>
      <c r="I128" s="27">
        <v>0</v>
      </c>
      <c r="J128" s="23"/>
    </row>
    <row r="129" spans="2:10" hidden="1" x14ac:dyDescent="0.35">
      <c r="B129" s="11">
        <v>13</v>
      </c>
      <c r="C129" s="17" t="s">
        <v>30</v>
      </c>
      <c r="D129" s="25"/>
      <c r="E129" s="25"/>
      <c r="F129" s="26">
        <f t="shared" si="17"/>
        <v>0</v>
      </c>
      <c r="G129" s="25">
        <f t="shared" si="19"/>
        <v>0</v>
      </c>
      <c r="H129" s="12">
        <v>0</v>
      </c>
      <c r="I129" s="27">
        <v>0</v>
      </c>
      <c r="J129" s="23"/>
    </row>
    <row r="130" spans="2:10" hidden="1" x14ac:dyDescent="0.35">
      <c r="B130" s="11">
        <v>14</v>
      </c>
      <c r="C130" s="18" t="s">
        <v>31</v>
      </c>
      <c r="D130" s="25"/>
      <c r="E130" s="25"/>
      <c r="F130" s="26">
        <f t="shared" si="17"/>
        <v>0</v>
      </c>
      <c r="G130" s="25">
        <f t="shared" si="19"/>
        <v>0</v>
      </c>
      <c r="H130" s="12">
        <v>0</v>
      </c>
      <c r="I130" s="27">
        <v>0</v>
      </c>
      <c r="J130" s="23"/>
    </row>
    <row r="131" spans="2:10" hidden="1" x14ac:dyDescent="0.35">
      <c r="B131" s="11">
        <v>15</v>
      </c>
      <c r="C131" s="17" t="s">
        <v>32</v>
      </c>
      <c r="D131" s="25"/>
      <c r="E131" s="25"/>
      <c r="F131" s="26">
        <f t="shared" si="17"/>
        <v>0</v>
      </c>
      <c r="G131" s="25">
        <f t="shared" si="19"/>
        <v>0</v>
      </c>
      <c r="H131" s="12">
        <v>0</v>
      </c>
      <c r="I131" s="27">
        <v>0</v>
      </c>
      <c r="J131" s="23"/>
    </row>
    <row r="132" spans="2:10" hidden="1" x14ac:dyDescent="0.35">
      <c r="B132" s="11">
        <v>16</v>
      </c>
      <c r="C132" s="17" t="s">
        <v>33</v>
      </c>
      <c r="D132" s="25"/>
      <c r="E132" s="25"/>
      <c r="F132" s="26">
        <f t="shared" si="17"/>
        <v>0</v>
      </c>
      <c r="G132" s="25">
        <f t="shared" si="19"/>
        <v>0</v>
      </c>
      <c r="H132" s="12">
        <v>0</v>
      </c>
      <c r="I132" s="27">
        <v>0</v>
      </c>
      <c r="J132" s="23"/>
    </row>
    <row r="133" spans="2:10" hidden="1" x14ac:dyDescent="0.35">
      <c r="B133" s="11">
        <v>17</v>
      </c>
      <c r="C133" s="17" t="s">
        <v>34</v>
      </c>
      <c r="D133" s="25"/>
      <c r="E133" s="25"/>
      <c r="F133" s="26">
        <f t="shared" si="17"/>
        <v>0</v>
      </c>
      <c r="G133" s="25">
        <f t="shared" si="19"/>
        <v>0</v>
      </c>
      <c r="H133" s="12">
        <v>0</v>
      </c>
      <c r="I133" s="27">
        <v>0</v>
      </c>
      <c r="J133" s="23"/>
    </row>
    <row r="134" spans="2:10" hidden="1" x14ac:dyDescent="0.35">
      <c r="B134" s="11">
        <v>18</v>
      </c>
      <c r="C134" s="17" t="s">
        <v>35</v>
      </c>
      <c r="D134" s="25"/>
      <c r="E134" s="25"/>
      <c r="F134" s="26">
        <f t="shared" si="17"/>
        <v>0</v>
      </c>
      <c r="G134" s="25">
        <f t="shared" si="19"/>
        <v>0</v>
      </c>
      <c r="H134" s="12">
        <v>0</v>
      </c>
      <c r="I134" s="27">
        <v>0</v>
      </c>
      <c r="J134" s="23"/>
    </row>
    <row r="135" spans="2:10" hidden="1" x14ac:dyDescent="0.35">
      <c r="B135" s="11">
        <v>19</v>
      </c>
      <c r="C135" s="17" t="s">
        <v>36</v>
      </c>
      <c r="D135" s="25"/>
      <c r="E135" s="25"/>
      <c r="F135" s="26">
        <f t="shared" si="17"/>
        <v>0</v>
      </c>
      <c r="G135" s="25">
        <f t="shared" si="19"/>
        <v>0</v>
      </c>
      <c r="H135" s="12">
        <v>0</v>
      </c>
      <c r="I135" s="27">
        <v>0</v>
      </c>
      <c r="J135" s="23"/>
    </row>
    <row r="136" spans="2:10" hidden="1" x14ac:dyDescent="0.35">
      <c r="B136" s="11">
        <v>20</v>
      </c>
      <c r="C136" s="17" t="s">
        <v>37</v>
      </c>
      <c r="D136" s="25"/>
      <c r="E136" s="25"/>
      <c r="F136" s="26">
        <f t="shared" si="17"/>
        <v>0</v>
      </c>
      <c r="G136" s="25">
        <f t="shared" si="19"/>
        <v>0</v>
      </c>
      <c r="H136" s="12">
        <v>0</v>
      </c>
      <c r="I136" s="27">
        <v>0</v>
      </c>
      <c r="J136" s="23"/>
    </row>
    <row r="137" spans="2:10" hidden="1" x14ac:dyDescent="0.35">
      <c r="B137" s="11">
        <v>21</v>
      </c>
      <c r="C137" s="17" t="s">
        <v>38</v>
      </c>
      <c r="D137" s="25"/>
      <c r="E137" s="25"/>
      <c r="F137" s="26">
        <f t="shared" si="17"/>
        <v>0</v>
      </c>
      <c r="G137" s="25">
        <f t="shared" si="19"/>
        <v>0</v>
      </c>
      <c r="H137" s="12">
        <v>0</v>
      </c>
      <c r="I137" s="27">
        <v>0</v>
      </c>
      <c r="J137" s="23"/>
    </row>
    <row r="138" spans="2:10" hidden="1" x14ac:dyDescent="0.35">
      <c r="B138" s="11">
        <v>22</v>
      </c>
      <c r="C138" s="17" t="s">
        <v>39</v>
      </c>
      <c r="D138" s="25"/>
      <c r="E138" s="25"/>
      <c r="F138" s="26">
        <f t="shared" si="17"/>
        <v>0</v>
      </c>
      <c r="G138" s="25">
        <f t="shared" si="19"/>
        <v>0</v>
      </c>
      <c r="H138" s="12">
        <v>0</v>
      </c>
      <c r="I138" s="27">
        <v>0</v>
      </c>
      <c r="J138" s="23"/>
    </row>
    <row r="139" spans="2:10" hidden="1" x14ac:dyDescent="0.35">
      <c r="B139" s="11">
        <v>23</v>
      </c>
      <c r="C139" s="17" t="s">
        <v>40</v>
      </c>
      <c r="D139" s="25"/>
      <c r="E139" s="25"/>
      <c r="F139" s="26">
        <f t="shared" si="17"/>
        <v>0</v>
      </c>
      <c r="G139" s="25">
        <f t="shared" si="19"/>
        <v>0</v>
      </c>
      <c r="H139" s="12">
        <v>0</v>
      </c>
      <c r="I139" s="27">
        <v>0</v>
      </c>
      <c r="J139" s="23"/>
    </row>
    <row r="140" spans="2:10" hidden="1" x14ac:dyDescent="0.35">
      <c r="B140" s="11">
        <v>24</v>
      </c>
      <c r="C140" s="17" t="s">
        <v>41</v>
      </c>
      <c r="D140" s="25"/>
      <c r="E140" s="25"/>
      <c r="F140" s="26">
        <f t="shared" si="17"/>
        <v>0</v>
      </c>
      <c r="G140" s="25">
        <f t="shared" si="19"/>
        <v>0</v>
      </c>
      <c r="H140" s="12">
        <v>0</v>
      </c>
      <c r="I140" s="27">
        <v>0</v>
      </c>
      <c r="J140" s="23"/>
    </row>
    <row r="141" spans="2:10" hidden="1" x14ac:dyDescent="0.35">
      <c r="B141" s="11">
        <v>25</v>
      </c>
      <c r="C141" s="19" t="s">
        <v>42</v>
      </c>
      <c r="D141" s="25"/>
      <c r="E141" s="25"/>
      <c r="F141" s="26">
        <f t="shared" si="17"/>
        <v>0</v>
      </c>
      <c r="G141" s="25">
        <f t="shared" si="19"/>
        <v>0</v>
      </c>
      <c r="H141" s="12">
        <v>0</v>
      </c>
      <c r="I141" s="27">
        <v>0</v>
      </c>
      <c r="J141" s="23"/>
    </row>
    <row r="142" spans="2:10" hidden="1" x14ac:dyDescent="0.35">
      <c r="B142" s="29">
        <v>26</v>
      </c>
      <c r="C142" s="30" t="s">
        <v>43</v>
      </c>
      <c r="D142" s="31"/>
      <c r="E142" s="31"/>
      <c r="F142" s="32">
        <f t="shared" si="17"/>
        <v>0</v>
      </c>
      <c r="G142" s="31">
        <f t="shared" si="19"/>
        <v>0</v>
      </c>
      <c r="H142" s="33">
        <v>0</v>
      </c>
      <c r="I142" s="34">
        <v>0</v>
      </c>
      <c r="J142" s="23"/>
    </row>
    <row r="143" spans="2:10" x14ac:dyDescent="0.35">
      <c r="B143" s="5"/>
      <c r="C143" s="5"/>
      <c r="D143" s="6"/>
      <c r="E143" s="6"/>
      <c r="F143" s="6"/>
      <c r="G143" s="6"/>
      <c r="H143" s="7"/>
      <c r="I143" s="6"/>
      <c r="J143" s="5"/>
    </row>
    <row r="144" spans="2:10" x14ac:dyDescent="0.35">
      <c r="B144" s="8" t="s">
        <v>44</v>
      </c>
      <c r="C144" s="5"/>
      <c r="D144" s="5"/>
      <c r="E144" s="5"/>
      <c r="F144" s="5"/>
      <c r="G144" s="5"/>
      <c r="H144" s="5"/>
      <c r="I144" s="5"/>
      <c r="J144" s="5"/>
    </row>
    <row r="145" spans="2:10" x14ac:dyDescent="0.35">
      <c r="B145" s="9" t="s">
        <v>45</v>
      </c>
      <c r="C145" s="5"/>
      <c r="D145" s="5"/>
      <c r="E145" s="5"/>
      <c r="F145" s="5"/>
      <c r="G145" s="5"/>
      <c r="H145" s="5"/>
      <c r="I145" s="5"/>
      <c r="J145" s="5"/>
    </row>
    <row r="146" spans="2:10" x14ac:dyDescent="0.35">
      <c r="B146" s="9" t="s">
        <v>46</v>
      </c>
      <c r="C146" s="5"/>
      <c r="D146" s="5"/>
      <c r="E146" s="5"/>
      <c r="F146" s="5"/>
      <c r="G146" s="5"/>
      <c r="H146" s="5"/>
      <c r="I146" s="5"/>
      <c r="J146" s="5"/>
    </row>
    <row r="147" spans="2:10" x14ac:dyDescent="0.35">
      <c r="B147" s="9" t="s">
        <v>47</v>
      </c>
      <c r="C147" s="5"/>
      <c r="D147" s="5"/>
      <c r="E147" s="5"/>
      <c r="F147" s="5"/>
      <c r="G147" s="5"/>
      <c r="H147" s="5"/>
      <c r="I147" s="5"/>
      <c r="J147" s="5"/>
    </row>
  </sheetData>
  <mergeCells count="43">
    <mergeCell ref="B118:B119"/>
    <mergeCell ref="C118:C119"/>
    <mergeCell ref="H118:H119"/>
    <mergeCell ref="I118:I119"/>
    <mergeCell ref="D119:G119"/>
    <mergeCell ref="B81:B82"/>
    <mergeCell ref="C81:C82"/>
    <mergeCell ref="H81:H82"/>
    <mergeCell ref="I81:I82"/>
    <mergeCell ref="D82:G82"/>
    <mergeCell ref="B44:B45"/>
    <mergeCell ref="C44:C45"/>
    <mergeCell ref="H44:H45"/>
    <mergeCell ref="I44:I45"/>
    <mergeCell ref="D45:G45"/>
    <mergeCell ref="H116:I117"/>
    <mergeCell ref="D117:G117"/>
    <mergeCell ref="D113:I113"/>
    <mergeCell ref="D116:G116"/>
    <mergeCell ref="D114:I114"/>
    <mergeCell ref="B115:J115"/>
    <mergeCell ref="H79:I80"/>
    <mergeCell ref="D80:G80"/>
    <mergeCell ref="D76:I76"/>
    <mergeCell ref="D79:G79"/>
    <mergeCell ref="D77:I77"/>
    <mergeCell ref="B78:J78"/>
    <mergeCell ref="H42:I43"/>
    <mergeCell ref="D43:G43"/>
    <mergeCell ref="D39:I39"/>
    <mergeCell ref="D42:G42"/>
    <mergeCell ref="D40:I40"/>
    <mergeCell ref="B41:J41"/>
    <mergeCell ref="B7:B8"/>
    <mergeCell ref="C7:C8"/>
    <mergeCell ref="H7:H8"/>
    <mergeCell ref="I7:I8"/>
    <mergeCell ref="D8:G8"/>
    <mergeCell ref="D3:I3"/>
    <mergeCell ref="B4:J4"/>
    <mergeCell ref="D5:G5"/>
    <mergeCell ref="H5:I6"/>
    <mergeCell ref="D6:G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5094C-6781-44F2-AF41-3057FB8003D6}">
  <dimension ref="B3:L147"/>
  <sheetViews>
    <sheetView topLeftCell="A107" workbookViewId="0">
      <selection activeCell="T122" sqref="T122"/>
    </sheetView>
  </sheetViews>
  <sheetFormatPr defaultColWidth="9" defaultRowHeight="14.5" x14ac:dyDescent="0.35"/>
  <cols>
    <col min="1" max="1" width="2" style="3" customWidth="1"/>
    <col min="2" max="2" width="6.09765625" style="3" customWidth="1"/>
    <col min="3" max="3" width="25.59765625" style="3" customWidth="1"/>
    <col min="4" max="4" width="18.59765625" style="42" customWidth="1"/>
    <col min="5" max="5" width="13" style="42" customWidth="1"/>
    <col min="6" max="6" width="14.8984375" style="42" customWidth="1"/>
    <col min="7" max="7" width="14.59765625" style="42" customWidth="1"/>
    <col min="8" max="9" width="13" style="42" customWidth="1"/>
    <col min="10" max="10" width="9" style="42"/>
    <col min="11" max="11" width="9" style="3"/>
    <col min="12" max="12" width="11.59765625" style="3" customWidth="1"/>
    <col min="13" max="16384" width="9" style="3"/>
  </cols>
  <sheetData>
    <row r="3" spans="2:12" s="38" customFormat="1" ht="18.5" x14ac:dyDescent="0.45">
      <c r="B3" s="28"/>
      <c r="C3" s="28"/>
      <c r="D3" s="140" t="s">
        <v>60</v>
      </c>
      <c r="E3" s="140"/>
      <c r="F3" s="140"/>
      <c r="G3" s="140"/>
      <c r="H3" s="140"/>
      <c r="I3" s="140"/>
      <c r="J3" s="91"/>
      <c r="K3" s="39"/>
      <c r="L3" s="2"/>
    </row>
    <row r="4" spans="2:12" ht="15.9" customHeight="1" x14ac:dyDescent="0.4">
      <c r="B4" s="124" t="s">
        <v>6</v>
      </c>
      <c r="C4" s="124"/>
      <c r="D4" s="124"/>
      <c r="E4" s="124"/>
      <c r="F4" s="124"/>
      <c r="G4" s="124"/>
      <c r="H4" s="124"/>
      <c r="I4" s="124"/>
      <c r="J4" s="124"/>
      <c r="K4" s="1"/>
      <c r="L4" s="2"/>
    </row>
    <row r="5" spans="2:12" ht="14.4" customHeight="1" x14ac:dyDescent="0.35">
      <c r="B5" s="15"/>
      <c r="C5" s="16"/>
      <c r="D5" s="114" t="s">
        <v>7</v>
      </c>
      <c r="E5" s="115"/>
      <c r="F5" s="115"/>
      <c r="G5" s="116"/>
      <c r="H5" s="117" t="s">
        <v>8</v>
      </c>
      <c r="I5" s="118"/>
      <c r="J5" s="92"/>
      <c r="K5" s="1"/>
      <c r="L5" s="2"/>
    </row>
    <row r="6" spans="2:12" x14ac:dyDescent="0.35">
      <c r="B6" s="13"/>
      <c r="C6" s="14"/>
      <c r="D6" s="121" t="s">
        <v>10</v>
      </c>
      <c r="E6" s="122"/>
      <c r="F6" s="122"/>
      <c r="G6" s="123"/>
      <c r="H6" s="119"/>
      <c r="I6" s="120"/>
      <c r="J6" s="92"/>
      <c r="K6" s="1"/>
      <c r="L6" s="2"/>
    </row>
    <row r="7" spans="2:12" ht="18.899999999999999" customHeight="1" x14ac:dyDescent="0.35">
      <c r="B7" s="128" t="s">
        <v>11</v>
      </c>
      <c r="C7" s="130" t="s">
        <v>12</v>
      </c>
      <c r="D7" s="80" t="s">
        <v>13</v>
      </c>
      <c r="E7" s="80" t="s">
        <v>14</v>
      </c>
      <c r="F7" s="80" t="s">
        <v>15</v>
      </c>
      <c r="G7" s="80" t="s">
        <v>16</v>
      </c>
      <c r="H7" s="132" t="s">
        <v>17</v>
      </c>
      <c r="I7" s="134" t="s">
        <v>18</v>
      </c>
      <c r="J7" s="93"/>
      <c r="K7" s="1"/>
      <c r="L7" s="2"/>
    </row>
    <row r="8" spans="2:12" ht="32.4" customHeight="1" x14ac:dyDescent="0.35">
      <c r="B8" s="129"/>
      <c r="C8" s="131"/>
      <c r="D8" s="141" t="s">
        <v>21</v>
      </c>
      <c r="E8" s="142"/>
      <c r="F8" s="142"/>
      <c r="G8" s="143"/>
      <c r="H8" s="133"/>
      <c r="I8" s="135"/>
      <c r="J8" s="93"/>
      <c r="K8" s="1"/>
    </row>
    <row r="9" spans="2:12" x14ac:dyDescent="0.35">
      <c r="B9" s="43">
        <v>4</v>
      </c>
      <c r="C9" s="41" t="s">
        <v>22</v>
      </c>
      <c r="D9" s="22">
        <v>180929.31</v>
      </c>
      <c r="E9" s="22">
        <v>0</v>
      </c>
      <c r="F9" s="61">
        <f>+D9+E9</f>
        <v>180929.31</v>
      </c>
      <c r="G9" s="22">
        <f>+F9</f>
        <v>180929.31</v>
      </c>
      <c r="H9" s="62">
        <f>((G9-I11)/I11)*100</f>
        <v>-72.615433999046857</v>
      </c>
      <c r="I9" s="22">
        <v>31440</v>
      </c>
      <c r="J9" s="63"/>
      <c r="K9" s="1"/>
    </row>
    <row r="10" spans="2:12" x14ac:dyDescent="0.35">
      <c r="B10" s="43">
        <v>5</v>
      </c>
      <c r="C10" s="41" t="s">
        <v>23</v>
      </c>
      <c r="D10" s="27">
        <v>93255.93</v>
      </c>
      <c r="E10" s="27">
        <v>0</v>
      </c>
      <c r="F10" s="65">
        <f>+E10+D10</f>
        <v>93255.93</v>
      </c>
      <c r="G10" s="27">
        <f>+G9+F10</f>
        <v>274185.24</v>
      </c>
      <c r="H10" s="66">
        <f t="shared" ref="H10:H14" si="0">((G10-I10)/I10)*100</f>
        <v>-45.998035144408966</v>
      </c>
      <c r="I10" s="22">
        <f>+I9+476291.97</f>
        <v>507731.97</v>
      </c>
      <c r="J10" s="63"/>
      <c r="K10" s="1"/>
    </row>
    <row r="11" spans="2:12" x14ac:dyDescent="0.35">
      <c r="B11" s="43">
        <v>6</v>
      </c>
      <c r="C11" s="41" t="s">
        <v>24</v>
      </c>
      <c r="D11" s="27">
        <v>242659.54</v>
      </c>
      <c r="E11" s="27">
        <v>0</v>
      </c>
      <c r="F11" s="65">
        <f>+E11+D11</f>
        <v>242659.54</v>
      </c>
      <c r="G11" s="27">
        <f t="shared" ref="G11:G31" si="1">+G10+F11</f>
        <v>516844.78</v>
      </c>
      <c r="H11" s="66">
        <f t="shared" si="0"/>
        <v>-21.772928940268947</v>
      </c>
      <c r="I11" s="22">
        <f>+I10+152966.14</f>
        <v>660698.11</v>
      </c>
      <c r="J11" s="63"/>
      <c r="K11" s="1"/>
    </row>
    <row r="12" spans="2:12" x14ac:dyDescent="0.35">
      <c r="B12" s="43">
        <v>7</v>
      </c>
      <c r="C12" s="41" t="s">
        <v>25</v>
      </c>
      <c r="D12" s="27">
        <v>60050.02</v>
      </c>
      <c r="E12" s="27">
        <v>110420.5</v>
      </c>
      <c r="F12" s="65">
        <f t="shared" ref="F12:F31" si="2">+E12+D12</f>
        <v>170470.52</v>
      </c>
      <c r="G12" s="27">
        <f>+G11+F12</f>
        <v>687315.3</v>
      </c>
      <c r="H12" s="66">
        <f t="shared" si="0"/>
        <v>-20.094544662219896</v>
      </c>
      <c r="I12" s="27">
        <f>+I11+199462.56</f>
        <v>860160.66999999993</v>
      </c>
      <c r="J12" s="63"/>
      <c r="K12" s="1"/>
    </row>
    <row r="13" spans="2:12" x14ac:dyDescent="0.35">
      <c r="B13" s="43">
        <v>8</v>
      </c>
      <c r="C13" s="41" t="s">
        <v>26</v>
      </c>
      <c r="D13" s="27">
        <v>212440.55</v>
      </c>
      <c r="E13" s="27">
        <v>0</v>
      </c>
      <c r="F13" s="65">
        <f t="shared" si="2"/>
        <v>212440.55</v>
      </c>
      <c r="G13" s="27">
        <f t="shared" ref="G13:G14" si="3">+G12+F13</f>
        <v>899755.85000000009</v>
      </c>
      <c r="H13" s="66">
        <f t="shared" si="0"/>
        <v>-10.562986806051315</v>
      </c>
      <c r="I13" s="27">
        <v>1006021.8</v>
      </c>
      <c r="J13" s="63"/>
      <c r="K13" s="1"/>
      <c r="L13" s="42"/>
    </row>
    <row r="14" spans="2:12" x14ac:dyDescent="0.35">
      <c r="B14" s="43">
        <v>9</v>
      </c>
      <c r="C14" s="41" t="s">
        <v>27</v>
      </c>
      <c r="D14" s="27">
        <v>66821.509999999995</v>
      </c>
      <c r="E14" s="27">
        <v>0</v>
      </c>
      <c r="F14" s="65">
        <f t="shared" si="2"/>
        <v>66821.509999999995</v>
      </c>
      <c r="G14" s="67">
        <f t="shared" si="3"/>
        <v>966577.3600000001</v>
      </c>
      <c r="H14" s="66">
        <f t="shared" si="0"/>
        <v>-25.496879278215111</v>
      </c>
      <c r="I14" s="27">
        <f>+I13+291343.13</f>
        <v>1297364.9300000002</v>
      </c>
      <c r="J14" s="63"/>
      <c r="K14" s="1"/>
    </row>
    <row r="15" spans="2:12" hidden="1" x14ac:dyDescent="0.35">
      <c r="B15" s="11">
        <v>10</v>
      </c>
      <c r="C15" s="17" t="s">
        <v>50</v>
      </c>
      <c r="D15" s="27"/>
      <c r="E15" s="27"/>
      <c r="F15" s="65">
        <f t="shared" si="2"/>
        <v>0</v>
      </c>
      <c r="G15" s="27">
        <f t="shared" si="1"/>
        <v>966577.3600000001</v>
      </c>
      <c r="H15" s="66">
        <v>0</v>
      </c>
      <c r="I15" s="27">
        <v>0</v>
      </c>
      <c r="J15" s="63"/>
      <c r="K15" s="1"/>
    </row>
    <row r="16" spans="2:12" hidden="1" x14ac:dyDescent="0.35">
      <c r="B16" s="11">
        <v>11</v>
      </c>
      <c r="C16" s="17" t="s">
        <v>28</v>
      </c>
      <c r="D16" s="27"/>
      <c r="E16" s="27"/>
      <c r="F16" s="65">
        <f t="shared" si="2"/>
        <v>0</v>
      </c>
      <c r="G16" s="27">
        <f t="shared" si="1"/>
        <v>966577.3600000001</v>
      </c>
      <c r="H16" s="66">
        <v>0</v>
      </c>
      <c r="I16" s="27">
        <v>0</v>
      </c>
      <c r="J16" s="63"/>
      <c r="K16" s="1"/>
    </row>
    <row r="17" spans="2:12" hidden="1" x14ac:dyDescent="0.35">
      <c r="B17" s="11">
        <v>12</v>
      </c>
      <c r="C17" s="17" t="s">
        <v>29</v>
      </c>
      <c r="D17" s="27"/>
      <c r="E17" s="27"/>
      <c r="F17" s="65">
        <f t="shared" si="2"/>
        <v>0</v>
      </c>
      <c r="G17" s="27">
        <f t="shared" si="1"/>
        <v>966577.3600000001</v>
      </c>
      <c r="H17" s="66">
        <v>0</v>
      </c>
      <c r="I17" s="27">
        <v>0</v>
      </c>
      <c r="J17" s="63"/>
      <c r="K17" s="1"/>
    </row>
    <row r="18" spans="2:12" hidden="1" x14ac:dyDescent="0.35">
      <c r="B18" s="11">
        <v>13</v>
      </c>
      <c r="C18" s="17" t="s">
        <v>30</v>
      </c>
      <c r="D18" s="27"/>
      <c r="E18" s="27"/>
      <c r="F18" s="65">
        <f t="shared" si="2"/>
        <v>0</v>
      </c>
      <c r="G18" s="27">
        <f t="shared" si="1"/>
        <v>966577.3600000001</v>
      </c>
      <c r="H18" s="66">
        <v>0</v>
      </c>
      <c r="I18" s="27">
        <v>0</v>
      </c>
      <c r="J18" s="63"/>
      <c r="K18" s="1"/>
    </row>
    <row r="19" spans="2:12" hidden="1" x14ac:dyDescent="0.35">
      <c r="B19" s="11">
        <v>14</v>
      </c>
      <c r="C19" s="18" t="s">
        <v>31</v>
      </c>
      <c r="D19" s="27"/>
      <c r="E19" s="27"/>
      <c r="F19" s="65">
        <f t="shared" si="2"/>
        <v>0</v>
      </c>
      <c r="G19" s="27">
        <f t="shared" si="1"/>
        <v>966577.3600000001</v>
      </c>
      <c r="H19" s="66">
        <v>0</v>
      </c>
      <c r="I19" s="27">
        <v>0</v>
      </c>
      <c r="J19" s="63"/>
      <c r="K19" s="1"/>
    </row>
    <row r="20" spans="2:12" hidden="1" x14ac:dyDescent="0.35">
      <c r="B20" s="11">
        <v>15</v>
      </c>
      <c r="C20" s="17" t="s">
        <v>32</v>
      </c>
      <c r="D20" s="27"/>
      <c r="E20" s="27"/>
      <c r="F20" s="65">
        <f t="shared" si="2"/>
        <v>0</v>
      </c>
      <c r="G20" s="27">
        <f t="shared" si="1"/>
        <v>966577.3600000001</v>
      </c>
      <c r="H20" s="66">
        <v>0</v>
      </c>
      <c r="I20" s="27">
        <v>0</v>
      </c>
      <c r="J20" s="63"/>
      <c r="K20" s="1"/>
    </row>
    <row r="21" spans="2:12" hidden="1" x14ac:dyDescent="0.35">
      <c r="B21" s="11">
        <v>16</v>
      </c>
      <c r="C21" s="17" t="s">
        <v>33</v>
      </c>
      <c r="D21" s="27"/>
      <c r="E21" s="27"/>
      <c r="F21" s="65">
        <f t="shared" si="2"/>
        <v>0</v>
      </c>
      <c r="G21" s="27">
        <f t="shared" si="1"/>
        <v>966577.3600000001</v>
      </c>
      <c r="H21" s="66">
        <v>0</v>
      </c>
      <c r="I21" s="27">
        <v>0</v>
      </c>
      <c r="J21" s="63"/>
      <c r="K21" s="1"/>
    </row>
    <row r="22" spans="2:12" hidden="1" x14ac:dyDescent="0.35">
      <c r="B22" s="11">
        <v>17</v>
      </c>
      <c r="C22" s="17" t="s">
        <v>34</v>
      </c>
      <c r="D22" s="27"/>
      <c r="E22" s="27"/>
      <c r="F22" s="65">
        <f t="shared" si="2"/>
        <v>0</v>
      </c>
      <c r="G22" s="27">
        <f t="shared" si="1"/>
        <v>966577.3600000001</v>
      </c>
      <c r="H22" s="66">
        <v>0</v>
      </c>
      <c r="I22" s="27">
        <v>0</v>
      </c>
      <c r="J22" s="63"/>
      <c r="K22" s="1"/>
    </row>
    <row r="23" spans="2:12" hidden="1" x14ac:dyDescent="0.35">
      <c r="B23" s="11">
        <v>18</v>
      </c>
      <c r="C23" s="17" t="s">
        <v>35</v>
      </c>
      <c r="D23" s="27"/>
      <c r="E23" s="27"/>
      <c r="F23" s="65">
        <f t="shared" si="2"/>
        <v>0</v>
      </c>
      <c r="G23" s="27">
        <f t="shared" si="1"/>
        <v>966577.3600000001</v>
      </c>
      <c r="H23" s="66">
        <v>0</v>
      </c>
      <c r="I23" s="27">
        <v>0</v>
      </c>
      <c r="J23" s="63"/>
      <c r="K23" s="1"/>
    </row>
    <row r="24" spans="2:12" hidden="1" x14ac:dyDescent="0.35">
      <c r="B24" s="11">
        <v>19</v>
      </c>
      <c r="C24" s="17" t="s">
        <v>36</v>
      </c>
      <c r="D24" s="27"/>
      <c r="E24" s="27"/>
      <c r="F24" s="65">
        <f t="shared" si="2"/>
        <v>0</v>
      </c>
      <c r="G24" s="27">
        <f t="shared" si="1"/>
        <v>966577.3600000001</v>
      </c>
      <c r="H24" s="66">
        <v>0</v>
      </c>
      <c r="I24" s="27">
        <v>0</v>
      </c>
      <c r="J24" s="63"/>
      <c r="K24" s="1"/>
    </row>
    <row r="25" spans="2:12" hidden="1" x14ac:dyDescent="0.35">
      <c r="B25" s="11">
        <v>20</v>
      </c>
      <c r="C25" s="17" t="s">
        <v>37</v>
      </c>
      <c r="D25" s="27"/>
      <c r="E25" s="27"/>
      <c r="F25" s="65">
        <f t="shared" si="2"/>
        <v>0</v>
      </c>
      <c r="G25" s="27">
        <f t="shared" si="1"/>
        <v>966577.3600000001</v>
      </c>
      <c r="H25" s="66">
        <v>0</v>
      </c>
      <c r="I25" s="27">
        <v>0</v>
      </c>
      <c r="J25" s="63"/>
      <c r="K25" s="1"/>
    </row>
    <row r="26" spans="2:12" hidden="1" x14ac:dyDescent="0.35">
      <c r="B26" s="11">
        <v>21</v>
      </c>
      <c r="C26" s="17" t="s">
        <v>38</v>
      </c>
      <c r="D26" s="27"/>
      <c r="E26" s="27"/>
      <c r="F26" s="65">
        <f t="shared" si="2"/>
        <v>0</v>
      </c>
      <c r="G26" s="27">
        <f t="shared" si="1"/>
        <v>966577.3600000001</v>
      </c>
      <c r="H26" s="66">
        <v>0</v>
      </c>
      <c r="I26" s="27">
        <v>0</v>
      </c>
      <c r="J26" s="63"/>
      <c r="K26" s="1"/>
    </row>
    <row r="27" spans="2:12" hidden="1" x14ac:dyDescent="0.35">
      <c r="B27" s="11">
        <v>22</v>
      </c>
      <c r="C27" s="17" t="s">
        <v>39</v>
      </c>
      <c r="D27" s="27"/>
      <c r="E27" s="27"/>
      <c r="F27" s="65">
        <f t="shared" si="2"/>
        <v>0</v>
      </c>
      <c r="G27" s="27">
        <f t="shared" si="1"/>
        <v>966577.3600000001</v>
      </c>
      <c r="H27" s="66">
        <v>0</v>
      </c>
      <c r="I27" s="27">
        <v>0</v>
      </c>
      <c r="J27" s="63"/>
      <c r="K27" s="1"/>
    </row>
    <row r="28" spans="2:12" hidden="1" x14ac:dyDescent="0.35">
      <c r="B28" s="11">
        <v>23</v>
      </c>
      <c r="C28" s="17" t="s">
        <v>40</v>
      </c>
      <c r="D28" s="27"/>
      <c r="E28" s="27"/>
      <c r="F28" s="65">
        <f t="shared" si="2"/>
        <v>0</v>
      </c>
      <c r="G28" s="27">
        <f t="shared" si="1"/>
        <v>966577.3600000001</v>
      </c>
      <c r="H28" s="66">
        <v>0</v>
      </c>
      <c r="I28" s="27">
        <v>0</v>
      </c>
      <c r="J28" s="63"/>
      <c r="K28" s="1"/>
    </row>
    <row r="29" spans="2:12" hidden="1" x14ac:dyDescent="0.35">
      <c r="B29" s="11">
        <v>24</v>
      </c>
      <c r="C29" s="17" t="s">
        <v>41</v>
      </c>
      <c r="D29" s="27"/>
      <c r="E29" s="27"/>
      <c r="F29" s="65">
        <f t="shared" si="2"/>
        <v>0</v>
      </c>
      <c r="G29" s="27">
        <f t="shared" si="1"/>
        <v>966577.3600000001</v>
      </c>
      <c r="H29" s="66">
        <v>0</v>
      </c>
      <c r="I29" s="27">
        <v>0</v>
      </c>
      <c r="J29" s="63"/>
      <c r="K29" s="1"/>
    </row>
    <row r="30" spans="2:12" hidden="1" x14ac:dyDescent="0.35">
      <c r="B30" s="11">
        <v>25</v>
      </c>
      <c r="C30" s="19" t="s">
        <v>42</v>
      </c>
      <c r="D30" s="27"/>
      <c r="E30" s="27"/>
      <c r="F30" s="65">
        <f t="shared" si="2"/>
        <v>0</v>
      </c>
      <c r="G30" s="27">
        <f t="shared" si="1"/>
        <v>966577.3600000001</v>
      </c>
      <c r="H30" s="66">
        <v>0</v>
      </c>
      <c r="I30" s="27">
        <v>0</v>
      </c>
      <c r="J30" s="63"/>
      <c r="K30" s="1"/>
    </row>
    <row r="31" spans="2:12" hidden="1" x14ac:dyDescent="0.35">
      <c r="B31" s="29">
        <v>26</v>
      </c>
      <c r="C31" s="30" t="s">
        <v>43</v>
      </c>
      <c r="D31" s="34"/>
      <c r="E31" s="34"/>
      <c r="F31" s="94">
        <f t="shared" si="2"/>
        <v>0</v>
      </c>
      <c r="G31" s="34">
        <f t="shared" si="1"/>
        <v>966577.3600000001</v>
      </c>
      <c r="H31" s="95">
        <v>0</v>
      </c>
      <c r="I31" s="34">
        <v>0</v>
      </c>
      <c r="J31" s="63"/>
      <c r="K31" s="1"/>
    </row>
    <row r="32" spans="2:12" x14ac:dyDescent="0.35">
      <c r="B32" s="5"/>
      <c r="C32" s="5"/>
      <c r="D32" s="6"/>
      <c r="E32" s="6"/>
      <c r="F32" s="6"/>
      <c r="G32" s="6"/>
      <c r="H32" s="6"/>
      <c r="I32" s="6"/>
      <c r="J32" s="6"/>
      <c r="K32" s="1"/>
      <c r="L32" s="40"/>
    </row>
    <row r="33" spans="2:11" x14ac:dyDescent="0.35">
      <c r="B33" s="8" t="s">
        <v>44</v>
      </c>
      <c r="C33" s="5"/>
      <c r="D33" s="6"/>
      <c r="E33" s="6"/>
      <c r="F33" s="6"/>
      <c r="G33" s="6"/>
      <c r="H33" s="6"/>
      <c r="I33" s="6"/>
      <c r="J33" s="6"/>
      <c r="K33" s="1"/>
    </row>
    <row r="34" spans="2:11" x14ac:dyDescent="0.35">
      <c r="B34" s="9" t="s">
        <v>45</v>
      </c>
      <c r="C34" s="5"/>
      <c r="D34" s="6"/>
      <c r="E34" s="6"/>
      <c r="F34" s="6"/>
      <c r="G34" s="6"/>
      <c r="H34" s="6"/>
      <c r="I34" s="6"/>
      <c r="J34" s="6"/>
      <c r="K34" s="1"/>
    </row>
    <row r="35" spans="2:11" x14ac:dyDescent="0.35">
      <c r="B35" s="9" t="s">
        <v>46</v>
      </c>
      <c r="C35" s="5"/>
      <c r="D35" s="6"/>
      <c r="E35" s="6"/>
      <c r="F35" s="6"/>
      <c r="G35" s="6"/>
      <c r="H35" s="6"/>
      <c r="I35" s="6"/>
      <c r="J35" s="6"/>
      <c r="K35" s="1"/>
    </row>
    <row r="36" spans="2:11" x14ac:dyDescent="0.35">
      <c r="B36" s="9" t="s">
        <v>47</v>
      </c>
      <c r="C36" s="5"/>
      <c r="D36" s="6"/>
      <c r="E36" s="6"/>
      <c r="F36" s="6"/>
      <c r="G36" s="6"/>
      <c r="H36" s="6"/>
      <c r="I36" s="6"/>
      <c r="J36" s="6"/>
      <c r="K36" s="1"/>
    </row>
    <row r="37" spans="2:11" x14ac:dyDescent="0.35">
      <c r="B37" s="9"/>
      <c r="C37" s="5"/>
      <c r="D37" s="6"/>
      <c r="E37" s="6"/>
      <c r="F37" s="6"/>
      <c r="G37" s="6"/>
      <c r="H37" s="6"/>
      <c r="I37" s="6"/>
      <c r="J37" s="6"/>
      <c r="K37" s="1"/>
    </row>
    <row r="38" spans="2:11" x14ac:dyDescent="0.35">
      <c r="B38" s="9"/>
      <c r="C38" s="5"/>
      <c r="D38" s="6"/>
      <c r="E38" s="6"/>
      <c r="F38" s="6"/>
      <c r="G38" s="6"/>
      <c r="H38" s="6"/>
      <c r="I38" s="6"/>
      <c r="J38" s="6"/>
      <c r="K38" s="1"/>
    </row>
    <row r="39" spans="2:11" ht="18.5" x14ac:dyDescent="0.45">
      <c r="B39" s="10"/>
      <c r="C39" s="10"/>
      <c r="D39" s="112" t="s">
        <v>48</v>
      </c>
      <c r="E39" s="112"/>
      <c r="F39" s="112"/>
      <c r="G39" s="112"/>
      <c r="H39" s="112"/>
      <c r="I39" s="112"/>
      <c r="J39" s="60"/>
    </row>
    <row r="40" spans="2:11" s="38" customFormat="1" ht="18.5" x14ac:dyDescent="0.45">
      <c r="B40" s="28"/>
      <c r="C40" s="28"/>
      <c r="D40" s="169" t="s">
        <v>60</v>
      </c>
      <c r="E40" s="169"/>
      <c r="F40" s="169"/>
      <c r="G40" s="169"/>
      <c r="H40" s="169"/>
      <c r="I40" s="169"/>
      <c r="J40" s="91"/>
    </row>
    <row r="41" spans="2:11" ht="15.9" customHeight="1" x14ac:dyDescent="0.4">
      <c r="B41" s="124" t="s">
        <v>6</v>
      </c>
      <c r="C41" s="124"/>
      <c r="D41" s="124"/>
      <c r="E41" s="124"/>
      <c r="F41" s="124"/>
      <c r="G41" s="124"/>
      <c r="H41" s="124"/>
      <c r="I41" s="124"/>
      <c r="J41" s="124"/>
    </row>
    <row r="42" spans="2:11" ht="14.4" customHeight="1" x14ac:dyDescent="0.35">
      <c r="B42" s="15"/>
      <c r="C42" s="16"/>
      <c r="D42" s="114" t="s">
        <v>7</v>
      </c>
      <c r="E42" s="115"/>
      <c r="F42" s="115"/>
      <c r="G42" s="116"/>
      <c r="H42" s="117" t="s">
        <v>8</v>
      </c>
      <c r="I42" s="118"/>
      <c r="J42" s="92"/>
    </row>
    <row r="43" spans="2:11" x14ac:dyDescent="0.35">
      <c r="B43" s="13"/>
      <c r="C43" s="14"/>
      <c r="D43" s="121" t="s">
        <v>10</v>
      </c>
      <c r="E43" s="122"/>
      <c r="F43" s="122"/>
      <c r="G43" s="123"/>
      <c r="H43" s="119"/>
      <c r="I43" s="120"/>
      <c r="J43" s="92"/>
    </row>
    <row r="44" spans="2:11" ht="14.4" customHeight="1" x14ac:dyDescent="0.35">
      <c r="B44" s="128" t="s">
        <v>11</v>
      </c>
      <c r="C44" s="130" t="s">
        <v>12</v>
      </c>
      <c r="D44" s="80" t="s">
        <v>13</v>
      </c>
      <c r="E44" s="80" t="s">
        <v>14</v>
      </c>
      <c r="F44" s="80" t="s">
        <v>15</v>
      </c>
      <c r="G44" s="80" t="s">
        <v>16</v>
      </c>
      <c r="H44" s="132" t="s">
        <v>17</v>
      </c>
      <c r="I44" s="134" t="s">
        <v>18</v>
      </c>
      <c r="J44" s="93"/>
    </row>
    <row r="45" spans="2:11" ht="38.4" customHeight="1" x14ac:dyDescent="0.35">
      <c r="B45" s="129"/>
      <c r="C45" s="131"/>
      <c r="D45" s="141" t="s">
        <v>21</v>
      </c>
      <c r="E45" s="142"/>
      <c r="F45" s="142"/>
      <c r="G45" s="143"/>
      <c r="H45" s="133"/>
      <c r="I45" s="135"/>
      <c r="J45" s="93"/>
    </row>
    <row r="46" spans="2:11" x14ac:dyDescent="0.35">
      <c r="B46" s="43">
        <v>4</v>
      </c>
      <c r="C46" s="41" t="s">
        <v>22</v>
      </c>
      <c r="D46" s="22">
        <v>178440.81</v>
      </c>
      <c r="E46" s="22">
        <v>0</v>
      </c>
      <c r="F46" s="61">
        <f>+D46+E46</f>
        <v>178440.81</v>
      </c>
      <c r="G46" s="22">
        <f>+F46</f>
        <v>178440.81</v>
      </c>
      <c r="H46" s="62">
        <f t="shared" ref="H46:H51" si="4">((G46-I46)/I46)*100</f>
        <v>467.5598282442748</v>
      </c>
      <c r="I46" s="22">
        <v>31440</v>
      </c>
      <c r="J46" s="63"/>
    </row>
    <row r="47" spans="2:11" x14ac:dyDescent="0.35">
      <c r="B47" s="43">
        <v>5</v>
      </c>
      <c r="C47" s="41" t="s">
        <v>23</v>
      </c>
      <c r="D47" s="27">
        <v>71740.399999999994</v>
      </c>
      <c r="E47" s="27">
        <v>0</v>
      </c>
      <c r="F47" s="65">
        <f>+E47+D47</f>
        <v>71740.399999999994</v>
      </c>
      <c r="G47" s="27">
        <f>+G46+F47</f>
        <v>250181.21</v>
      </c>
      <c r="H47" s="66">
        <f t="shared" si="4"/>
        <v>24.575634243165592</v>
      </c>
      <c r="I47" s="27">
        <f>+I46+169386.76</f>
        <v>200826.76</v>
      </c>
      <c r="J47" s="63"/>
    </row>
    <row r="48" spans="2:11" x14ac:dyDescent="0.35">
      <c r="B48" s="43">
        <v>6</v>
      </c>
      <c r="C48" s="41" t="s">
        <v>24</v>
      </c>
      <c r="D48" s="27">
        <v>233351</v>
      </c>
      <c r="E48" s="27">
        <v>0</v>
      </c>
      <c r="F48" s="65">
        <f>+E48+D48</f>
        <v>233351</v>
      </c>
      <c r="G48" s="27">
        <f t="shared" ref="G48" si="5">+G47+F48</f>
        <v>483532.20999999996</v>
      </c>
      <c r="H48" s="66">
        <f t="shared" si="4"/>
        <v>88.683523925467185</v>
      </c>
      <c r="I48" s="27">
        <f>+I47+55439.5</f>
        <v>256266.26</v>
      </c>
      <c r="J48" s="63"/>
    </row>
    <row r="49" spans="2:10" x14ac:dyDescent="0.35">
      <c r="B49" s="43">
        <v>7</v>
      </c>
      <c r="C49" s="41" t="s">
        <v>25</v>
      </c>
      <c r="D49" s="27">
        <v>57485</v>
      </c>
      <c r="E49" s="27">
        <v>107820.5</v>
      </c>
      <c r="F49" s="65">
        <f t="shared" ref="F49:F68" si="6">+E49+D49</f>
        <v>165305.5</v>
      </c>
      <c r="G49" s="27">
        <f>+G48+F49</f>
        <v>648837.71</v>
      </c>
      <c r="H49" s="66">
        <f t="shared" si="4"/>
        <v>75.564505301344838</v>
      </c>
      <c r="I49" s="27">
        <f>+I48+113306</f>
        <v>369572.26</v>
      </c>
      <c r="J49" s="63"/>
    </row>
    <row r="50" spans="2:10" x14ac:dyDescent="0.35">
      <c r="B50" s="43">
        <v>8</v>
      </c>
      <c r="C50" s="41" t="s">
        <v>26</v>
      </c>
      <c r="D50" s="27">
        <v>203668</v>
      </c>
      <c r="E50" s="27">
        <v>0</v>
      </c>
      <c r="F50" s="65">
        <f t="shared" si="6"/>
        <v>203668</v>
      </c>
      <c r="G50" s="27">
        <f t="shared" ref="G50:G51" si="7">+G49+F50</f>
        <v>852505.71</v>
      </c>
      <c r="H50" s="66">
        <f t="shared" si="4"/>
        <v>97.920322896079838</v>
      </c>
      <c r="I50" s="27">
        <v>430731.77</v>
      </c>
      <c r="J50" s="63"/>
    </row>
    <row r="51" spans="2:10" x14ac:dyDescent="0.35">
      <c r="B51" s="43">
        <v>9</v>
      </c>
      <c r="C51" s="41" t="s">
        <v>27</v>
      </c>
      <c r="D51" s="27">
        <v>65282</v>
      </c>
      <c r="E51" s="27">
        <v>0</v>
      </c>
      <c r="F51" s="65">
        <f t="shared" si="6"/>
        <v>65282</v>
      </c>
      <c r="G51" s="68">
        <f t="shared" si="7"/>
        <v>917787.71</v>
      </c>
      <c r="H51" s="66">
        <f t="shared" si="4"/>
        <v>45.660291242907583</v>
      </c>
      <c r="I51" s="27">
        <f>+I50+199356.02</f>
        <v>630087.79</v>
      </c>
      <c r="J51" s="63"/>
    </row>
    <row r="52" spans="2:10" hidden="1" x14ac:dyDescent="0.35">
      <c r="B52" s="11">
        <v>10</v>
      </c>
      <c r="C52" s="17" t="s">
        <v>50</v>
      </c>
      <c r="D52" s="27"/>
      <c r="E52" s="27"/>
      <c r="F52" s="65">
        <f t="shared" si="6"/>
        <v>0</v>
      </c>
      <c r="G52" s="27">
        <f t="shared" ref="G52:G68" si="8">+G51+F52</f>
        <v>917787.71</v>
      </c>
      <c r="H52" s="66">
        <v>0</v>
      </c>
      <c r="I52" s="27">
        <v>0</v>
      </c>
      <c r="J52" s="63"/>
    </row>
    <row r="53" spans="2:10" hidden="1" x14ac:dyDescent="0.35">
      <c r="B53" s="11">
        <v>11</v>
      </c>
      <c r="C53" s="17" t="s">
        <v>28</v>
      </c>
      <c r="D53" s="27"/>
      <c r="E53" s="27"/>
      <c r="F53" s="65">
        <f t="shared" si="6"/>
        <v>0</v>
      </c>
      <c r="G53" s="27">
        <f t="shared" si="8"/>
        <v>917787.71</v>
      </c>
      <c r="H53" s="66">
        <v>0</v>
      </c>
      <c r="I53" s="27">
        <v>0</v>
      </c>
      <c r="J53" s="63"/>
    </row>
    <row r="54" spans="2:10" hidden="1" x14ac:dyDescent="0.35">
      <c r="B54" s="11">
        <v>12</v>
      </c>
      <c r="C54" s="17" t="s">
        <v>29</v>
      </c>
      <c r="D54" s="27"/>
      <c r="E54" s="27"/>
      <c r="F54" s="65">
        <f t="shared" si="6"/>
        <v>0</v>
      </c>
      <c r="G54" s="27">
        <f t="shared" si="8"/>
        <v>917787.71</v>
      </c>
      <c r="H54" s="66">
        <v>0</v>
      </c>
      <c r="I54" s="27">
        <v>0</v>
      </c>
      <c r="J54" s="63"/>
    </row>
    <row r="55" spans="2:10" hidden="1" x14ac:dyDescent="0.35">
      <c r="B55" s="11">
        <v>13</v>
      </c>
      <c r="C55" s="17" t="s">
        <v>30</v>
      </c>
      <c r="D55" s="27"/>
      <c r="E55" s="27"/>
      <c r="F55" s="65">
        <f t="shared" si="6"/>
        <v>0</v>
      </c>
      <c r="G55" s="27">
        <f t="shared" si="8"/>
        <v>917787.71</v>
      </c>
      <c r="H55" s="66">
        <v>0</v>
      </c>
      <c r="I55" s="27">
        <v>0</v>
      </c>
      <c r="J55" s="63"/>
    </row>
    <row r="56" spans="2:10" hidden="1" x14ac:dyDescent="0.35">
      <c r="B56" s="11">
        <v>14</v>
      </c>
      <c r="C56" s="18" t="s">
        <v>31</v>
      </c>
      <c r="D56" s="27"/>
      <c r="E56" s="27"/>
      <c r="F56" s="65">
        <f t="shared" si="6"/>
        <v>0</v>
      </c>
      <c r="G56" s="27">
        <f t="shared" si="8"/>
        <v>917787.71</v>
      </c>
      <c r="H56" s="66">
        <v>0</v>
      </c>
      <c r="I56" s="27">
        <v>0</v>
      </c>
      <c r="J56" s="63"/>
    </row>
    <row r="57" spans="2:10" hidden="1" x14ac:dyDescent="0.35">
      <c r="B57" s="11">
        <v>15</v>
      </c>
      <c r="C57" s="17" t="s">
        <v>32</v>
      </c>
      <c r="D57" s="27"/>
      <c r="E57" s="27"/>
      <c r="F57" s="65">
        <f t="shared" si="6"/>
        <v>0</v>
      </c>
      <c r="G57" s="27">
        <f t="shared" si="8"/>
        <v>917787.71</v>
      </c>
      <c r="H57" s="66">
        <v>0</v>
      </c>
      <c r="I57" s="27">
        <v>0</v>
      </c>
      <c r="J57" s="63"/>
    </row>
    <row r="58" spans="2:10" hidden="1" x14ac:dyDescent="0.35">
      <c r="B58" s="11">
        <v>16</v>
      </c>
      <c r="C58" s="17" t="s">
        <v>33</v>
      </c>
      <c r="D58" s="27"/>
      <c r="E58" s="27"/>
      <c r="F58" s="65">
        <f t="shared" si="6"/>
        <v>0</v>
      </c>
      <c r="G58" s="27">
        <f t="shared" si="8"/>
        <v>917787.71</v>
      </c>
      <c r="H58" s="66">
        <v>0</v>
      </c>
      <c r="I58" s="27">
        <v>0</v>
      </c>
      <c r="J58" s="63"/>
    </row>
    <row r="59" spans="2:10" hidden="1" x14ac:dyDescent="0.35">
      <c r="B59" s="11">
        <v>17</v>
      </c>
      <c r="C59" s="17" t="s">
        <v>34</v>
      </c>
      <c r="D59" s="27"/>
      <c r="E59" s="27"/>
      <c r="F59" s="65">
        <f t="shared" si="6"/>
        <v>0</v>
      </c>
      <c r="G59" s="27">
        <f t="shared" si="8"/>
        <v>917787.71</v>
      </c>
      <c r="H59" s="66">
        <v>0</v>
      </c>
      <c r="I59" s="27">
        <v>0</v>
      </c>
      <c r="J59" s="63"/>
    </row>
    <row r="60" spans="2:10" hidden="1" x14ac:dyDescent="0.35">
      <c r="B60" s="11">
        <v>18</v>
      </c>
      <c r="C60" s="17" t="s">
        <v>35</v>
      </c>
      <c r="D60" s="27"/>
      <c r="E60" s="27"/>
      <c r="F60" s="65">
        <f t="shared" si="6"/>
        <v>0</v>
      </c>
      <c r="G60" s="27">
        <f t="shared" si="8"/>
        <v>917787.71</v>
      </c>
      <c r="H60" s="66">
        <v>0</v>
      </c>
      <c r="I60" s="27">
        <v>0</v>
      </c>
      <c r="J60" s="63"/>
    </row>
    <row r="61" spans="2:10" hidden="1" x14ac:dyDescent="0.35">
      <c r="B61" s="11">
        <v>19</v>
      </c>
      <c r="C61" s="17" t="s">
        <v>36</v>
      </c>
      <c r="D61" s="27"/>
      <c r="E61" s="27"/>
      <c r="F61" s="65">
        <f t="shared" si="6"/>
        <v>0</v>
      </c>
      <c r="G61" s="27">
        <f t="shared" si="8"/>
        <v>917787.71</v>
      </c>
      <c r="H61" s="66">
        <v>0</v>
      </c>
      <c r="I61" s="27">
        <v>0</v>
      </c>
      <c r="J61" s="63"/>
    </row>
    <row r="62" spans="2:10" hidden="1" x14ac:dyDescent="0.35">
      <c r="B62" s="11">
        <v>20</v>
      </c>
      <c r="C62" s="17" t="s">
        <v>37</v>
      </c>
      <c r="D62" s="27"/>
      <c r="E62" s="27"/>
      <c r="F62" s="65">
        <f t="shared" si="6"/>
        <v>0</v>
      </c>
      <c r="G62" s="27">
        <f t="shared" si="8"/>
        <v>917787.71</v>
      </c>
      <c r="H62" s="66">
        <v>0</v>
      </c>
      <c r="I62" s="27">
        <v>0</v>
      </c>
      <c r="J62" s="63"/>
    </row>
    <row r="63" spans="2:10" hidden="1" x14ac:dyDescent="0.35">
      <c r="B63" s="11">
        <v>21</v>
      </c>
      <c r="C63" s="17" t="s">
        <v>38</v>
      </c>
      <c r="D63" s="27"/>
      <c r="E63" s="27"/>
      <c r="F63" s="65">
        <f t="shared" si="6"/>
        <v>0</v>
      </c>
      <c r="G63" s="27">
        <f t="shared" si="8"/>
        <v>917787.71</v>
      </c>
      <c r="H63" s="66">
        <v>0</v>
      </c>
      <c r="I63" s="27">
        <v>0</v>
      </c>
      <c r="J63" s="63"/>
    </row>
    <row r="64" spans="2:10" hidden="1" x14ac:dyDescent="0.35">
      <c r="B64" s="11">
        <v>22</v>
      </c>
      <c r="C64" s="17" t="s">
        <v>39</v>
      </c>
      <c r="D64" s="27"/>
      <c r="E64" s="27"/>
      <c r="F64" s="65">
        <f t="shared" si="6"/>
        <v>0</v>
      </c>
      <c r="G64" s="27">
        <f t="shared" si="8"/>
        <v>917787.71</v>
      </c>
      <c r="H64" s="66">
        <v>0</v>
      </c>
      <c r="I64" s="27">
        <v>0</v>
      </c>
      <c r="J64" s="63"/>
    </row>
    <row r="65" spans="2:10" hidden="1" x14ac:dyDescent="0.35">
      <c r="B65" s="11">
        <v>23</v>
      </c>
      <c r="C65" s="17" t="s">
        <v>40</v>
      </c>
      <c r="D65" s="27"/>
      <c r="E65" s="27"/>
      <c r="F65" s="65">
        <f t="shared" si="6"/>
        <v>0</v>
      </c>
      <c r="G65" s="27">
        <f t="shared" si="8"/>
        <v>917787.71</v>
      </c>
      <c r="H65" s="66">
        <v>0</v>
      </c>
      <c r="I65" s="27">
        <v>0</v>
      </c>
      <c r="J65" s="63"/>
    </row>
    <row r="66" spans="2:10" hidden="1" x14ac:dyDescent="0.35">
      <c r="B66" s="11">
        <v>24</v>
      </c>
      <c r="C66" s="17" t="s">
        <v>41</v>
      </c>
      <c r="D66" s="27"/>
      <c r="E66" s="27"/>
      <c r="F66" s="65">
        <f t="shared" si="6"/>
        <v>0</v>
      </c>
      <c r="G66" s="27">
        <f t="shared" si="8"/>
        <v>917787.71</v>
      </c>
      <c r="H66" s="66">
        <v>0</v>
      </c>
      <c r="I66" s="27">
        <v>0</v>
      </c>
      <c r="J66" s="63"/>
    </row>
    <row r="67" spans="2:10" hidden="1" x14ac:dyDescent="0.35">
      <c r="B67" s="11">
        <v>25</v>
      </c>
      <c r="C67" s="19" t="s">
        <v>42</v>
      </c>
      <c r="D67" s="27"/>
      <c r="E67" s="27"/>
      <c r="F67" s="65">
        <f t="shared" si="6"/>
        <v>0</v>
      </c>
      <c r="G67" s="27">
        <f t="shared" si="8"/>
        <v>917787.71</v>
      </c>
      <c r="H67" s="66">
        <v>0</v>
      </c>
      <c r="I67" s="27">
        <v>0</v>
      </c>
      <c r="J67" s="63"/>
    </row>
    <row r="68" spans="2:10" hidden="1" x14ac:dyDescent="0.35">
      <c r="B68" s="29">
        <v>26</v>
      </c>
      <c r="C68" s="30" t="s">
        <v>43</v>
      </c>
      <c r="D68" s="34"/>
      <c r="E68" s="34"/>
      <c r="F68" s="94">
        <f t="shared" si="6"/>
        <v>0</v>
      </c>
      <c r="G68" s="34">
        <f t="shared" si="8"/>
        <v>917787.71</v>
      </c>
      <c r="H68" s="95">
        <v>0</v>
      </c>
      <c r="I68" s="34">
        <v>0</v>
      </c>
      <c r="J68" s="63"/>
    </row>
    <row r="69" spans="2:10" x14ac:dyDescent="0.35">
      <c r="B69" s="5"/>
      <c r="C69" s="5"/>
      <c r="D69" s="6"/>
      <c r="E69" s="6"/>
      <c r="F69" s="6"/>
      <c r="G69" s="6"/>
      <c r="H69" s="6"/>
      <c r="I69" s="6"/>
      <c r="J69" s="6"/>
    </row>
    <row r="70" spans="2:10" x14ac:dyDescent="0.35">
      <c r="B70" s="8" t="s">
        <v>44</v>
      </c>
      <c r="C70" s="5"/>
      <c r="D70" s="6"/>
      <c r="E70" s="6"/>
      <c r="F70" s="6"/>
      <c r="G70" s="6"/>
      <c r="H70" s="6"/>
      <c r="I70" s="6"/>
      <c r="J70" s="6"/>
    </row>
    <row r="71" spans="2:10" x14ac:dyDescent="0.35">
      <c r="B71" s="9" t="s">
        <v>45</v>
      </c>
      <c r="C71" s="5"/>
      <c r="D71" s="6"/>
      <c r="E71" s="6"/>
      <c r="F71" s="6"/>
      <c r="G71" s="6"/>
      <c r="H71" s="6"/>
      <c r="I71" s="6"/>
      <c r="J71" s="6"/>
    </row>
    <row r="72" spans="2:10" x14ac:dyDescent="0.35">
      <c r="B72" s="9" t="s">
        <v>46</v>
      </c>
      <c r="C72" s="5"/>
      <c r="D72" s="6"/>
      <c r="E72" s="6"/>
      <c r="F72" s="6"/>
      <c r="G72" s="6"/>
      <c r="H72" s="6"/>
      <c r="I72" s="6"/>
      <c r="J72" s="6"/>
    </row>
    <row r="73" spans="2:10" x14ac:dyDescent="0.35">
      <c r="B73" s="9" t="s">
        <v>47</v>
      </c>
      <c r="C73" s="5"/>
      <c r="D73" s="6"/>
      <c r="E73" s="6"/>
      <c r="F73" s="6"/>
      <c r="G73" s="6"/>
      <c r="H73" s="6"/>
      <c r="I73" s="6"/>
      <c r="J73" s="6"/>
    </row>
    <row r="74" spans="2:10" x14ac:dyDescent="0.35">
      <c r="B74" s="10"/>
      <c r="C74" s="10"/>
      <c r="D74" s="60"/>
      <c r="E74" s="60"/>
      <c r="F74" s="60"/>
      <c r="G74" s="60"/>
      <c r="H74" s="60"/>
      <c r="I74" s="60"/>
      <c r="J74" s="60"/>
    </row>
    <row r="75" spans="2:10" x14ac:dyDescent="0.35">
      <c r="B75" s="10"/>
      <c r="C75" s="10"/>
      <c r="D75" s="60"/>
      <c r="E75" s="60"/>
      <c r="F75" s="60"/>
      <c r="G75" s="60"/>
      <c r="H75" s="60"/>
      <c r="I75" s="60"/>
      <c r="J75" s="60"/>
    </row>
    <row r="76" spans="2:10" ht="18.5" x14ac:dyDescent="0.45">
      <c r="B76" s="10"/>
      <c r="C76" s="10"/>
      <c r="D76" s="136" t="s">
        <v>51</v>
      </c>
      <c r="E76" s="136"/>
      <c r="F76" s="136"/>
      <c r="G76" s="136"/>
      <c r="H76" s="136"/>
      <c r="I76" s="136"/>
      <c r="J76" s="60"/>
    </row>
    <row r="77" spans="2:10" s="38" customFormat="1" ht="18.5" x14ac:dyDescent="0.45">
      <c r="B77" s="28"/>
      <c r="C77" s="28"/>
      <c r="D77" s="170" t="s">
        <v>60</v>
      </c>
      <c r="E77" s="170"/>
      <c r="F77" s="170"/>
      <c r="G77" s="170"/>
      <c r="H77" s="170"/>
      <c r="I77" s="170"/>
      <c r="J77" s="91"/>
    </row>
    <row r="78" spans="2:10" ht="15.9" customHeight="1" x14ac:dyDescent="0.4">
      <c r="B78" s="124" t="s">
        <v>6</v>
      </c>
      <c r="C78" s="124"/>
      <c r="D78" s="124"/>
      <c r="E78" s="124"/>
      <c r="F78" s="124"/>
      <c r="G78" s="124"/>
      <c r="H78" s="124"/>
      <c r="I78" s="124"/>
      <c r="J78" s="124"/>
    </row>
    <row r="79" spans="2:10" ht="14.4" customHeight="1" x14ac:dyDescent="0.35">
      <c r="B79" s="15"/>
      <c r="C79" s="16"/>
      <c r="D79" s="114" t="s">
        <v>7</v>
      </c>
      <c r="E79" s="115"/>
      <c r="F79" s="115"/>
      <c r="G79" s="116"/>
      <c r="H79" s="117" t="s">
        <v>8</v>
      </c>
      <c r="I79" s="118"/>
      <c r="J79" s="92"/>
    </row>
    <row r="80" spans="2:10" x14ac:dyDescent="0.35">
      <c r="B80" s="13"/>
      <c r="C80" s="14"/>
      <c r="D80" s="121" t="s">
        <v>10</v>
      </c>
      <c r="E80" s="122"/>
      <c r="F80" s="122"/>
      <c r="G80" s="123"/>
      <c r="H80" s="119"/>
      <c r="I80" s="120"/>
      <c r="J80" s="92"/>
    </row>
    <row r="81" spans="2:10" ht="14.4" customHeight="1" x14ac:dyDescent="0.35">
      <c r="B81" s="128" t="s">
        <v>11</v>
      </c>
      <c r="C81" s="130" t="s">
        <v>12</v>
      </c>
      <c r="D81" s="80" t="s">
        <v>13</v>
      </c>
      <c r="E81" s="80" t="s">
        <v>14</v>
      </c>
      <c r="F81" s="80" t="s">
        <v>15</v>
      </c>
      <c r="G81" s="80" t="s">
        <v>16</v>
      </c>
      <c r="H81" s="132" t="s">
        <v>17</v>
      </c>
      <c r="I81" s="134" t="s">
        <v>18</v>
      </c>
      <c r="J81" s="93"/>
    </row>
    <row r="82" spans="2:10" ht="38.4" customHeight="1" x14ac:dyDescent="0.35">
      <c r="B82" s="129"/>
      <c r="C82" s="131"/>
      <c r="D82" s="141" t="s">
        <v>21</v>
      </c>
      <c r="E82" s="142"/>
      <c r="F82" s="142"/>
      <c r="G82" s="143"/>
      <c r="H82" s="133"/>
      <c r="I82" s="135"/>
      <c r="J82" s="93"/>
    </row>
    <row r="83" spans="2:10" x14ac:dyDescent="0.35">
      <c r="B83" s="43">
        <v>4</v>
      </c>
      <c r="C83" s="41" t="s">
        <v>22</v>
      </c>
      <c r="D83" s="22">
        <v>0</v>
      </c>
      <c r="E83" s="22">
        <v>0</v>
      </c>
      <c r="F83" s="61">
        <f>+D83+E83</f>
        <v>0</v>
      </c>
      <c r="G83" s="22">
        <f>+F83</f>
        <v>0</v>
      </c>
      <c r="H83" s="66" t="e">
        <f t="shared" ref="H83" si="9">((G83-I83)/I83)*100</f>
        <v>#DIV/0!</v>
      </c>
      <c r="I83" s="22">
        <v>0</v>
      </c>
      <c r="J83" s="63"/>
    </row>
    <row r="84" spans="2:10" x14ac:dyDescent="0.35">
      <c r="B84" s="43">
        <v>5</v>
      </c>
      <c r="C84" s="41" t="s">
        <v>23</v>
      </c>
      <c r="D84" s="27">
        <v>9008.51</v>
      </c>
      <c r="E84" s="27">
        <v>0</v>
      </c>
      <c r="F84" s="65">
        <f>+E84+D84</f>
        <v>9008.51</v>
      </c>
      <c r="G84" s="27">
        <f>+G83+F84</f>
        <v>9008.51</v>
      </c>
      <c r="H84" s="66">
        <f t="shared" ref="H84:H88" si="10">((G84-I84)/I84)*100</f>
        <v>-95.944662177927142</v>
      </c>
      <c r="I84" s="27">
        <v>222139.57</v>
      </c>
      <c r="J84" s="63"/>
    </row>
    <row r="85" spans="2:10" x14ac:dyDescent="0.35">
      <c r="B85" s="43">
        <v>6</v>
      </c>
      <c r="C85" s="41" t="s">
        <v>24</v>
      </c>
      <c r="D85" s="27">
        <v>4186.0200000000004</v>
      </c>
      <c r="E85" s="27">
        <v>0</v>
      </c>
      <c r="F85" s="65">
        <f>+E85+D85</f>
        <v>4186.0200000000004</v>
      </c>
      <c r="G85" s="27">
        <f>+G84+F85</f>
        <v>13194.53</v>
      </c>
      <c r="H85" s="66">
        <f t="shared" si="10"/>
        <v>-94.74250485394262</v>
      </c>
      <c r="I85" s="27">
        <f>+I84+28826.52</f>
        <v>250966.09</v>
      </c>
      <c r="J85" s="63"/>
    </row>
    <row r="86" spans="2:10" x14ac:dyDescent="0.35">
      <c r="B86" s="43">
        <v>7</v>
      </c>
      <c r="C86" s="41" t="s">
        <v>25</v>
      </c>
      <c r="D86" s="27">
        <v>2176.52</v>
      </c>
      <c r="E86" s="27">
        <v>2600</v>
      </c>
      <c r="F86" s="65">
        <f t="shared" ref="F86:F105" si="11">+E86+D86</f>
        <v>4776.5200000000004</v>
      </c>
      <c r="G86" s="27">
        <f>+G85+F86</f>
        <v>17971.050000000003</v>
      </c>
      <c r="H86" s="66">
        <f t="shared" si="10"/>
        <v>-94.113480936244471</v>
      </c>
      <c r="I86" s="27">
        <f>+I85+54325.54</f>
        <v>305291.63</v>
      </c>
      <c r="J86" s="63"/>
    </row>
    <row r="87" spans="2:10" x14ac:dyDescent="0.35">
      <c r="B87" s="43">
        <v>8</v>
      </c>
      <c r="C87" s="41" t="s">
        <v>26</v>
      </c>
      <c r="D87" s="27">
        <v>0</v>
      </c>
      <c r="E87" s="27">
        <v>0</v>
      </c>
      <c r="F87" s="65">
        <f t="shared" si="11"/>
        <v>0</v>
      </c>
      <c r="G87" s="27">
        <f t="shared" ref="G87:G88" si="12">+G86+F87</f>
        <v>17971.050000000003</v>
      </c>
      <c r="H87" s="66">
        <f t="shared" si="10"/>
        <v>-94.678447939946793</v>
      </c>
      <c r="I87" s="27">
        <v>337703.17</v>
      </c>
      <c r="J87" s="63"/>
    </row>
    <row r="88" spans="2:10" x14ac:dyDescent="0.35">
      <c r="B88" s="43">
        <v>9</v>
      </c>
      <c r="C88" s="41" t="s">
        <v>27</v>
      </c>
      <c r="D88" s="27">
        <v>0</v>
      </c>
      <c r="E88" s="27">
        <v>0</v>
      </c>
      <c r="F88" s="65">
        <f t="shared" si="11"/>
        <v>0</v>
      </c>
      <c r="G88" s="69">
        <f t="shared" si="12"/>
        <v>17971.050000000003</v>
      </c>
      <c r="H88" s="66">
        <f t="shared" si="10"/>
        <v>-95.346580760123857</v>
      </c>
      <c r="I88" s="27">
        <f>+I87+48487.05</f>
        <v>386190.22</v>
      </c>
      <c r="J88" s="63"/>
    </row>
    <row r="89" spans="2:10" hidden="1" x14ac:dyDescent="0.35">
      <c r="B89" s="11">
        <v>10</v>
      </c>
      <c r="C89" s="17" t="s">
        <v>50</v>
      </c>
      <c r="D89" s="27"/>
      <c r="E89" s="27"/>
      <c r="F89" s="65">
        <f t="shared" si="11"/>
        <v>0</v>
      </c>
      <c r="G89" s="27">
        <f t="shared" ref="G89:G105" si="13">+G88+F89</f>
        <v>17971.050000000003</v>
      </c>
      <c r="H89" s="66">
        <v>0</v>
      </c>
      <c r="I89" s="27">
        <v>0</v>
      </c>
      <c r="J89" s="63"/>
    </row>
    <row r="90" spans="2:10" hidden="1" x14ac:dyDescent="0.35">
      <c r="B90" s="11">
        <v>11</v>
      </c>
      <c r="C90" s="17" t="s">
        <v>28</v>
      </c>
      <c r="D90" s="27"/>
      <c r="E90" s="27"/>
      <c r="F90" s="65">
        <f t="shared" si="11"/>
        <v>0</v>
      </c>
      <c r="G90" s="27">
        <f t="shared" si="13"/>
        <v>17971.050000000003</v>
      </c>
      <c r="H90" s="66">
        <v>0</v>
      </c>
      <c r="I90" s="27">
        <v>0</v>
      </c>
      <c r="J90" s="63"/>
    </row>
    <row r="91" spans="2:10" hidden="1" x14ac:dyDescent="0.35">
      <c r="B91" s="11">
        <v>12</v>
      </c>
      <c r="C91" s="17" t="s">
        <v>29</v>
      </c>
      <c r="D91" s="27"/>
      <c r="E91" s="27"/>
      <c r="F91" s="65">
        <f t="shared" si="11"/>
        <v>0</v>
      </c>
      <c r="G91" s="27">
        <f t="shared" si="13"/>
        <v>17971.050000000003</v>
      </c>
      <c r="H91" s="66">
        <v>0</v>
      </c>
      <c r="I91" s="27">
        <v>0</v>
      </c>
      <c r="J91" s="63"/>
    </row>
    <row r="92" spans="2:10" hidden="1" x14ac:dyDescent="0.35">
      <c r="B92" s="11">
        <v>13</v>
      </c>
      <c r="C92" s="17" t="s">
        <v>30</v>
      </c>
      <c r="D92" s="27"/>
      <c r="E92" s="27"/>
      <c r="F92" s="65">
        <f t="shared" si="11"/>
        <v>0</v>
      </c>
      <c r="G92" s="27">
        <f t="shared" si="13"/>
        <v>17971.050000000003</v>
      </c>
      <c r="H92" s="66">
        <v>0</v>
      </c>
      <c r="I92" s="27">
        <v>0</v>
      </c>
      <c r="J92" s="63"/>
    </row>
    <row r="93" spans="2:10" hidden="1" x14ac:dyDescent="0.35">
      <c r="B93" s="11">
        <v>14</v>
      </c>
      <c r="C93" s="18" t="s">
        <v>31</v>
      </c>
      <c r="D93" s="27"/>
      <c r="E93" s="27"/>
      <c r="F93" s="65">
        <f t="shared" si="11"/>
        <v>0</v>
      </c>
      <c r="G93" s="27">
        <f t="shared" si="13"/>
        <v>17971.050000000003</v>
      </c>
      <c r="H93" s="66">
        <v>0</v>
      </c>
      <c r="I93" s="27">
        <v>0</v>
      </c>
      <c r="J93" s="63"/>
    </row>
    <row r="94" spans="2:10" hidden="1" x14ac:dyDescent="0.35">
      <c r="B94" s="11">
        <v>15</v>
      </c>
      <c r="C94" s="17" t="s">
        <v>32</v>
      </c>
      <c r="D94" s="27"/>
      <c r="E94" s="27"/>
      <c r="F94" s="65">
        <f t="shared" si="11"/>
        <v>0</v>
      </c>
      <c r="G94" s="27">
        <f t="shared" si="13"/>
        <v>17971.050000000003</v>
      </c>
      <c r="H94" s="66">
        <v>0</v>
      </c>
      <c r="I94" s="27">
        <v>0</v>
      </c>
      <c r="J94" s="63"/>
    </row>
    <row r="95" spans="2:10" hidden="1" x14ac:dyDescent="0.35">
      <c r="B95" s="11">
        <v>16</v>
      </c>
      <c r="C95" s="17" t="s">
        <v>33</v>
      </c>
      <c r="D95" s="27"/>
      <c r="E95" s="27"/>
      <c r="F95" s="65">
        <f t="shared" si="11"/>
        <v>0</v>
      </c>
      <c r="G95" s="27">
        <f t="shared" si="13"/>
        <v>17971.050000000003</v>
      </c>
      <c r="H95" s="66">
        <v>0</v>
      </c>
      <c r="I95" s="27">
        <v>0</v>
      </c>
      <c r="J95" s="63"/>
    </row>
    <row r="96" spans="2:10" hidden="1" x14ac:dyDescent="0.35">
      <c r="B96" s="11">
        <v>17</v>
      </c>
      <c r="C96" s="17" t="s">
        <v>34</v>
      </c>
      <c r="D96" s="27"/>
      <c r="E96" s="27"/>
      <c r="F96" s="65">
        <f t="shared" si="11"/>
        <v>0</v>
      </c>
      <c r="G96" s="27">
        <f t="shared" si="13"/>
        <v>17971.050000000003</v>
      </c>
      <c r="H96" s="66">
        <v>0</v>
      </c>
      <c r="I96" s="27">
        <v>0</v>
      </c>
      <c r="J96" s="63"/>
    </row>
    <row r="97" spans="2:10" hidden="1" x14ac:dyDescent="0.35">
      <c r="B97" s="11">
        <v>18</v>
      </c>
      <c r="C97" s="17" t="s">
        <v>35</v>
      </c>
      <c r="D97" s="27"/>
      <c r="E97" s="27"/>
      <c r="F97" s="65">
        <f t="shared" si="11"/>
        <v>0</v>
      </c>
      <c r="G97" s="27">
        <f t="shared" si="13"/>
        <v>17971.050000000003</v>
      </c>
      <c r="H97" s="66">
        <v>0</v>
      </c>
      <c r="I97" s="27">
        <v>0</v>
      </c>
      <c r="J97" s="63"/>
    </row>
    <row r="98" spans="2:10" hidden="1" x14ac:dyDescent="0.35">
      <c r="B98" s="11">
        <v>19</v>
      </c>
      <c r="C98" s="17" t="s">
        <v>36</v>
      </c>
      <c r="D98" s="27"/>
      <c r="E98" s="27"/>
      <c r="F98" s="65">
        <f t="shared" si="11"/>
        <v>0</v>
      </c>
      <c r="G98" s="27">
        <f t="shared" si="13"/>
        <v>17971.050000000003</v>
      </c>
      <c r="H98" s="66">
        <v>0</v>
      </c>
      <c r="I98" s="27">
        <v>0</v>
      </c>
      <c r="J98" s="63"/>
    </row>
    <row r="99" spans="2:10" hidden="1" x14ac:dyDescent="0.35">
      <c r="B99" s="11">
        <v>20</v>
      </c>
      <c r="C99" s="17" t="s">
        <v>37</v>
      </c>
      <c r="D99" s="27"/>
      <c r="E99" s="27"/>
      <c r="F99" s="65">
        <f t="shared" si="11"/>
        <v>0</v>
      </c>
      <c r="G99" s="27">
        <f t="shared" si="13"/>
        <v>17971.050000000003</v>
      </c>
      <c r="H99" s="66">
        <v>0</v>
      </c>
      <c r="I99" s="27">
        <v>0</v>
      </c>
      <c r="J99" s="63"/>
    </row>
    <row r="100" spans="2:10" hidden="1" x14ac:dyDescent="0.35">
      <c r="B100" s="11">
        <v>21</v>
      </c>
      <c r="C100" s="17" t="s">
        <v>38</v>
      </c>
      <c r="D100" s="27"/>
      <c r="E100" s="27"/>
      <c r="F100" s="65">
        <f t="shared" si="11"/>
        <v>0</v>
      </c>
      <c r="G100" s="27">
        <f t="shared" si="13"/>
        <v>17971.050000000003</v>
      </c>
      <c r="H100" s="66">
        <v>0</v>
      </c>
      <c r="I100" s="27">
        <v>0</v>
      </c>
      <c r="J100" s="63"/>
    </row>
    <row r="101" spans="2:10" hidden="1" x14ac:dyDescent="0.35">
      <c r="B101" s="11">
        <v>22</v>
      </c>
      <c r="C101" s="17" t="s">
        <v>39</v>
      </c>
      <c r="D101" s="27"/>
      <c r="E101" s="27"/>
      <c r="F101" s="65">
        <f t="shared" si="11"/>
        <v>0</v>
      </c>
      <c r="G101" s="27">
        <f t="shared" si="13"/>
        <v>17971.050000000003</v>
      </c>
      <c r="H101" s="66">
        <v>0</v>
      </c>
      <c r="I101" s="27">
        <v>0</v>
      </c>
      <c r="J101" s="63"/>
    </row>
    <row r="102" spans="2:10" hidden="1" x14ac:dyDescent="0.35">
      <c r="B102" s="11">
        <v>23</v>
      </c>
      <c r="C102" s="17" t="s">
        <v>40</v>
      </c>
      <c r="D102" s="27"/>
      <c r="E102" s="27"/>
      <c r="F102" s="65">
        <f t="shared" si="11"/>
        <v>0</v>
      </c>
      <c r="G102" s="27">
        <f t="shared" si="13"/>
        <v>17971.050000000003</v>
      </c>
      <c r="H102" s="66">
        <v>0</v>
      </c>
      <c r="I102" s="27">
        <v>0</v>
      </c>
      <c r="J102" s="63"/>
    </row>
    <row r="103" spans="2:10" hidden="1" x14ac:dyDescent="0.35">
      <c r="B103" s="11">
        <v>24</v>
      </c>
      <c r="C103" s="17" t="s">
        <v>41</v>
      </c>
      <c r="D103" s="27"/>
      <c r="E103" s="27"/>
      <c r="F103" s="65">
        <f t="shared" si="11"/>
        <v>0</v>
      </c>
      <c r="G103" s="27">
        <f t="shared" si="13"/>
        <v>17971.050000000003</v>
      </c>
      <c r="H103" s="66">
        <v>0</v>
      </c>
      <c r="I103" s="27">
        <v>0</v>
      </c>
      <c r="J103" s="63"/>
    </row>
    <row r="104" spans="2:10" hidden="1" x14ac:dyDescent="0.35">
      <c r="B104" s="11">
        <v>25</v>
      </c>
      <c r="C104" s="19" t="s">
        <v>42</v>
      </c>
      <c r="D104" s="27"/>
      <c r="E104" s="27"/>
      <c r="F104" s="65">
        <f t="shared" si="11"/>
        <v>0</v>
      </c>
      <c r="G104" s="27">
        <f t="shared" si="13"/>
        <v>17971.050000000003</v>
      </c>
      <c r="H104" s="66">
        <v>0</v>
      </c>
      <c r="I104" s="27">
        <v>0</v>
      </c>
      <c r="J104" s="63"/>
    </row>
    <row r="105" spans="2:10" hidden="1" x14ac:dyDescent="0.35">
      <c r="B105" s="29">
        <v>26</v>
      </c>
      <c r="C105" s="30" t="s">
        <v>43</v>
      </c>
      <c r="D105" s="34"/>
      <c r="E105" s="34"/>
      <c r="F105" s="94">
        <f t="shared" si="11"/>
        <v>0</v>
      </c>
      <c r="G105" s="34">
        <f t="shared" si="13"/>
        <v>17971.050000000003</v>
      </c>
      <c r="H105" s="95">
        <v>0</v>
      </c>
      <c r="I105" s="34">
        <v>0</v>
      </c>
      <c r="J105" s="63"/>
    </row>
    <row r="106" spans="2:10" x14ac:dyDescent="0.35">
      <c r="B106" s="5"/>
      <c r="C106" s="5"/>
      <c r="D106" s="6"/>
      <c r="E106" s="6"/>
      <c r="F106" s="6"/>
      <c r="G106" s="6"/>
      <c r="H106" s="6"/>
      <c r="I106" s="6"/>
      <c r="J106" s="6"/>
    </row>
    <row r="107" spans="2:10" x14ac:dyDescent="0.35">
      <c r="B107" s="8" t="s">
        <v>44</v>
      </c>
      <c r="C107" s="5"/>
      <c r="D107" s="6"/>
      <c r="E107" s="6"/>
      <c r="F107" s="6"/>
      <c r="G107" s="6"/>
      <c r="H107" s="6"/>
      <c r="I107" s="6"/>
      <c r="J107" s="6"/>
    </row>
    <row r="108" spans="2:10" x14ac:dyDescent="0.35">
      <c r="B108" s="9" t="s">
        <v>45</v>
      </c>
      <c r="C108" s="5"/>
      <c r="D108" s="6"/>
      <c r="E108" s="6"/>
      <c r="F108" s="6"/>
      <c r="G108" s="6"/>
      <c r="H108" s="6"/>
      <c r="I108" s="6"/>
      <c r="J108" s="6"/>
    </row>
    <row r="109" spans="2:10" x14ac:dyDescent="0.35">
      <c r="B109" s="9" t="s">
        <v>46</v>
      </c>
      <c r="C109" s="5"/>
      <c r="D109" s="6"/>
      <c r="E109" s="6"/>
      <c r="F109" s="6"/>
      <c r="G109" s="6"/>
      <c r="H109" s="6"/>
      <c r="I109" s="6"/>
      <c r="J109" s="6"/>
    </row>
    <row r="110" spans="2:10" x14ac:dyDescent="0.35">
      <c r="B110" s="9" t="s">
        <v>47</v>
      </c>
      <c r="C110" s="5"/>
      <c r="D110" s="6"/>
      <c r="E110" s="6"/>
      <c r="F110" s="6"/>
      <c r="G110" s="6"/>
      <c r="H110" s="6"/>
      <c r="I110" s="6"/>
      <c r="J110" s="6"/>
    </row>
    <row r="113" spans="2:10" ht="18.5" x14ac:dyDescent="0.45">
      <c r="B113" s="10"/>
      <c r="C113" s="10"/>
      <c r="D113" s="138" t="s">
        <v>52</v>
      </c>
      <c r="E113" s="138"/>
      <c r="F113" s="138"/>
      <c r="G113" s="138"/>
      <c r="H113" s="138"/>
      <c r="I113" s="138"/>
      <c r="J113" s="60"/>
    </row>
    <row r="114" spans="2:10" s="38" customFormat="1" ht="18.5" x14ac:dyDescent="0.45">
      <c r="B114" s="28"/>
      <c r="C114" s="28"/>
      <c r="D114" s="171" t="s">
        <v>60</v>
      </c>
      <c r="E114" s="171"/>
      <c r="F114" s="171"/>
      <c r="G114" s="171"/>
      <c r="H114" s="171"/>
      <c r="I114" s="171"/>
      <c r="J114" s="91"/>
    </row>
    <row r="115" spans="2:10" ht="15.9" customHeight="1" x14ac:dyDescent="0.4">
      <c r="B115" s="124" t="s">
        <v>6</v>
      </c>
      <c r="C115" s="124"/>
      <c r="D115" s="124"/>
      <c r="E115" s="124"/>
      <c r="F115" s="124"/>
      <c r="G115" s="124"/>
      <c r="H115" s="124"/>
      <c r="I115" s="124"/>
      <c r="J115" s="124"/>
    </row>
    <row r="116" spans="2:10" ht="14.4" customHeight="1" x14ac:dyDescent="0.35">
      <c r="B116" s="15"/>
      <c r="C116" s="16"/>
      <c r="D116" s="114" t="s">
        <v>7</v>
      </c>
      <c r="E116" s="115"/>
      <c r="F116" s="115"/>
      <c r="G116" s="116"/>
      <c r="H116" s="117" t="s">
        <v>8</v>
      </c>
      <c r="I116" s="118"/>
      <c r="J116" s="92"/>
    </row>
    <row r="117" spans="2:10" x14ac:dyDescent="0.35">
      <c r="B117" s="13"/>
      <c r="C117" s="14"/>
      <c r="D117" s="121" t="s">
        <v>10</v>
      </c>
      <c r="E117" s="122"/>
      <c r="F117" s="122"/>
      <c r="G117" s="123"/>
      <c r="H117" s="119"/>
      <c r="I117" s="120"/>
      <c r="J117" s="92"/>
    </row>
    <row r="118" spans="2:10" ht="14.4" customHeight="1" x14ac:dyDescent="0.35">
      <c r="B118" s="128" t="s">
        <v>11</v>
      </c>
      <c r="C118" s="130" t="s">
        <v>12</v>
      </c>
      <c r="D118" s="80" t="s">
        <v>13</v>
      </c>
      <c r="E118" s="80" t="s">
        <v>14</v>
      </c>
      <c r="F118" s="80" t="s">
        <v>15</v>
      </c>
      <c r="G118" s="80" t="s">
        <v>16</v>
      </c>
      <c r="H118" s="132" t="s">
        <v>17</v>
      </c>
      <c r="I118" s="134" t="s">
        <v>18</v>
      </c>
      <c r="J118" s="93"/>
    </row>
    <row r="119" spans="2:10" ht="38.4" customHeight="1" x14ac:dyDescent="0.35">
      <c r="B119" s="129"/>
      <c r="C119" s="131"/>
      <c r="D119" s="141" t="s">
        <v>21</v>
      </c>
      <c r="E119" s="142"/>
      <c r="F119" s="142"/>
      <c r="G119" s="143"/>
      <c r="H119" s="133"/>
      <c r="I119" s="135"/>
      <c r="J119" s="93"/>
    </row>
    <row r="120" spans="2:10" x14ac:dyDescent="0.35">
      <c r="B120" s="43">
        <v>4</v>
      </c>
      <c r="C120" s="41" t="s">
        <v>22</v>
      </c>
      <c r="D120" s="22">
        <v>2488.5</v>
      </c>
      <c r="E120" s="22">
        <v>0</v>
      </c>
      <c r="F120" s="61">
        <f>+D120+E120</f>
        <v>2488.5</v>
      </c>
      <c r="G120" s="22">
        <f>+F120</f>
        <v>2488.5</v>
      </c>
      <c r="H120" s="62" t="e">
        <f t="shared" ref="H120:H125" si="14">((G120-I120)/I120)*100</f>
        <v>#DIV/0!</v>
      </c>
      <c r="I120" s="22">
        <v>0</v>
      </c>
      <c r="J120" s="63"/>
    </row>
    <row r="121" spans="2:10" x14ac:dyDescent="0.35">
      <c r="B121" s="43">
        <v>5</v>
      </c>
      <c r="C121" s="41" t="s">
        <v>23</v>
      </c>
      <c r="D121" s="27">
        <v>12507.02</v>
      </c>
      <c r="E121" s="27">
        <v>0</v>
      </c>
      <c r="F121" s="65">
        <f>+E121+D121</f>
        <v>12507.02</v>
      </c>
      <c r="G121" s="27">
        <f>+G120+F121</f>
        <v>14995.52</v>
      </c>
      <c r="H121" s="66">
        <f t="shared" si="14"/>
        <v>-82.309435757224264</v>
      </c>
      <c r="I121" s="27">
        <v>84765.64</v>
      </c>
      <c r="J121" s="63"/>
    </row>
    <row r="122" spans="2:10" x14ac:dyDescent="0.35">
      <c r="B122" s="43">
        <v>6</v>
      </c>
      <c r="C122" s="41" t="s">
        <v>24</v>
      </c>
      <c r="D122" s="27">
        <v>5122.5200000000004</v>
      </c>
      <c r="E122" s="27">
        <v>0</v>
      </c>
      <c r="F122" s="65">
        <f>+E122+D122</f>
        <v>5122.5200000000004</v>
      </c>
      <c r="G122" s="27">
        <f t="shared" ref="G122" si="15">+G121+F122</f>
        <v>20118.04</v>
      </c>
      <c r="H122" s="66">
        <f t="shared" si="14"/>
        <v>-86.890860866945175</v>
      </c>
      <c r="I122" s="27">
        <f>+I121+68700.12</f>
        <v>153465.76</v>
      </c>
      <c r="J122" s="63"/>
    </row>
    <row r="123" spans="2:10" x14ac:dyDescent="0.35">
      <c r="B123" s="43">
        <v>7</v>
      </c>
      <c r="C123" s="41" t="s">
        <v>25</v>
      </c>
      <c r="D123" s="27">
        <v>388.5</v>
      </c>
      <c r="E123" s="27">
        <v>0</v>
      </c>
      <c r="F123" s="65">
        <f t="shared" ref="F123:F142" si="16">+E123+D123</f>
        <v>388.5</v>
      </c>
      <c r="G123" s="27">
        <f>+G122+F123</f>
        <v>20506.54</v>
      </c>
      <c r="H123" s="66">
        <f t="shared" si="14"/>
        <v>-88.933137424190534</v>
      </c>
      <c r="I123" s="27">
        <f>+I122+31831.02</f>
        <v>185296.78</v>
      </c>
      <c r="J123" s="63"/>
    </row>
    <row r="124" spans="2:10" x14ac:dyDescent="0.35">
      <c r="B124" s="43">
        <v>8</v>
      </c>
      <c r="C124" s="41" t="s">
        <v>26</v>
      </c>
      <c r="D124" s="27">
        <v>8772.5499999999993</v>
      </c>
      <c r="E124" s="27">
        <v>0</v>
      </c>
      <c r="F124" s="65">
        <f t="shared" si="16"/>
        <v>8772.5499999999993</v>
      </c>
      <c r="G124" s="27">
        <f t="shared" ref="G124:G125" si="17">+G123+F124</f>
        <v>29279.09</v>
      </c>
      <c r="H124" s="66">
        <f t="shared" si="14"/>
        <v>-87.67646914480035</v>
      </c>
      <c r="I124" s="27">
        <v>237586.86</v>
      </c>
      <c r="J124" s="63"/>
    </row>
    <row r="125" spans="2:10" x14ac:dyDescent="0.35">
      <c r="B125" s="43">
        <v>9</v>
      </c>
      <c r="C125" s="41" t="s">
        <v>27</v>
      </c>
      <c r="D125" s="27">
        <v>1539.51</v>
      </c>
      <c r="E125" s="27">
        <v>0</v>
      </c>
      <c r="F125" s="65">
        <f t="shared" si="16"/>
        <v>1539.51</v>
      </c>
      <c r="G125" s="70">
        <f t="shared" si="17"/>
        <v>30818.6</v>
      </c>
      <c r="H125" s="66">
        <f t="shared" si="14"/>
        <v>-89.035918142331212</v>
      </c>
      <c r="I125" s="27">
        <f>+I124+43500.06</f>
        <v>281086.92</v>
      </c>
      <c r="J125" s="63"/>
    </row>
    <row r="126" spans="2:10" hidden="1" x14ac:dyDescent="0.35">
      <c r="B126" s="11">
        <v>10</v>
      </c>
      <c r="C126" s="17" t="s">
        <v>50</v>
      </c>
      <c r="D126" s="27"/>
      <c r="E126" s="27"/>
      <c r="F126" s="65">
        <f t="shared" si="16"/>
        <v>0</v>
      </c>
      <c r="G126" s="27">
        <f t="shared" ref="G126:G142" si="18">+G125+F126</f>
        <v>30818.6</v>
      </c>
      <c r="H126" s="66">
        <v>0</v>
      </c>
      <c r="I126" s="27">
        <v>0</v>
      </c>
      <c r="J126" s="63"/>
    </row>
    <row r="127" spans="2:10" hidden="1" x14ac:dyDescent="0.35">
      <c r="B127" s="11">
        <v>11</v>
      </c>
      <c r="C127" s="17" t="s">
        <v>28</v>
      </c>
      <c r="D127" s="27"/>
      <c r="E127" s="27"/>
      <c r="F127" s="65">
        <f t="shared" si="16"/>
        <v>0</v>
      </c>
      <c r="G127" s="27">
        <f t="shared" si="18"/>
        <v>30818.6</v>
      </c>
      <c r="H127" s="66">
        <v>0</v>
      </c>
      <c r="I127" s="27">
        <v>0</v>
      </c>
      <c r="J127" s="63"/>
    </row>
    <row r="128" spans="2:10" hidden="1" x14ac:dyDescent="0.35">
      <c r="B128" s="11">
        <v>12</v>
      </c>
      <c r="C128" s="17" t="s">
        <v>29</v>
      </c>
      <c r="D128" s="27"/>
      <c r="E128" s="27"/>
      <c r="F128" s="65">
        <f t="shared" si="16"/>
        <v>0</v>
      </c>
      <c r="G128" s="27">
        <f t="shared" si="18"/>
        <v>30818.6</v>
      </c>
      <c r="H128" s="66">
        <v>0</v>
      </c>
      <c r="I128" s="27">
        <v>0</v>
      </c>
      <c r="J128" s="63"/>
    </row>
    <row r="129" spans="2:10" hidden="1" x14ac:dyDescent="0.35">
      <c r="B129" s="11">
        <v>13</v>
      </c>
      <c r="C129" s="17" t="s">
        <v>30</v>
      </c>
      <c r="D129" s="27"/>
      <c r="E129" s="27"/>
      <c r="F129" s="65">
        <f t="shared" si="16"/>
        <v>0</v>
      </c>
      <c r="G129" s="27">
        <f t="shared" si="18"/>
        <v>30818.6</v>
      </c>
      <c r="H129" s="66">
        <v>0</v>
      </c>
      <c r="I129" s="27">
        <v>0</v>
      </c>
      <c r="J129" s="63"/>
    </row>
    <row r="130" spans="2:10" hidden="1" x14ac:dyDescent="0.35">
      <c r="B130" s="11">
        <v>14</v>
      </c>
      <c r="C130" s="18" t="s">
        <v>31</v>
      </c>
      <c r="D130" s="27"/>
      <c r="E130" s="27"/>
      <c r="F130" s="65">
        <f t="shared" si="16"/>
        <v>0</v>
      </c>
      <c r="G130" s="27">
        <f t="shared" si="18"/>
        <v>30818.6</v>
      </c>
      <c r="H130" s="66">
        <v>0</v>
      </c>
      <c r="I130" s="27">
        <v>0</v>
      </c>
      <c r="J130" s="63"/>
    </row>
    <row r="131" spans="2:10" hidden="1" x14ac:dyDescent="0.35">
      <c r="B131" s="11">
        <v>15</v>
      </c>
      <c r="C131" s="17" t="s">
        <v>32</v>
      </c>
      <c r="D131" s="27"/>
      <c r="E131" s="27"/>
      <c r="F131" s="65">
        <f t="shared" si="16"/>
        <v>0</v>
      </c>
      <c r="G131" s="27">
        <f t="shared" si="18"/>
        <v>30818.6</v>
      </c>
      <c r="H131" s="66">
        <v>0</v>
      </c>
      <c r="I131" s="27">
        <v>0</v>
      </c>
      <c r="J131" s="63"/>
    </row>
    <row r="132" spans="2:10" hidden="1" x14ac:dyDescent="0.35">
      <c r="B132" s="11">
        <v>16</v>
      </c>
      <c r="C132" s="17" t="s">
        <v>33</v>
      </c>
      <c r="D132" s="27"/>
      <c r="E132" s="27"/>
      <c r="F132" s="65">
        <f t="shared" si="16"/>
        <v>0</v>
      </c>
      <c r="G132" s="27">
        <f t="shared" si="18"/>
        <v>30818.6</v>
      </c>
      <c r="H132" s="66">
        <v>0</v>
      </c>
      <c r="I132" s="27">
        <v>0</v>
      </c>
      <c r="J132" s="63"/>
    </row>
    <row r="133" spans="2:10" hidden="1" x14ac:dyDescent="0.35">
      <c r="B133" s="11">
        <v>17</v>
      </c>
      <c r="C133" s="17" t="s">
        <v>34</v>
      </c>
      <c r="D133" s="27"/>
      <c r="E133" s="27"/>
      <c r="F133" s="65">
        <f t="shared" si="16"/>
        <v>0</v>
      </c>
      <c r="G133" s="27">
        <f t="shared" si="18"/>
        <v>30818.6</v>
      </c>
      <c r="H133" s="66">
        <v>0</v>
      </c>
      <c r="I133" s="27">
        <v>0</v>
      </c>
      <c r="J133" s="63"/>
    </row>
    <row r="134" spans="2:10" hidden="1" x14ac:dyDescent="0.35">
      <c r="B134" s="11">
        <v>18</v>
      </c>
      <c r="C134" s="17" t="s">
        <v>35</v>
      </c>
      <c r="D134" s="27"/>
      <c r="E134" s="27"/>
      <c r="F134" s="65">
        <f t="shared" si="16"/>
        <v>0</v>
      </c>
      <c r="G134" s="27">
        <f t="shared" si="18"/>
        <v>30818.6</v>
      </c>
      <c r="H134" s="66">
        <v>0</v>
      </c>
      <c r="I134" s="27">
        <v>0</v>
      </c>
      <c r="J134" s="63"/>
    </row>
    <row r="135" spans="2:10" hidden="1" x14ac:dyDescent="0.35">
      <c r="B135" s="11">
        <v>19</v>
      </c>
      <c r="C135" s="17" t="s">
        <v>36</v>
      </c>
      <c r="D135" s="27"/>
      <c r="E135" s="27"/>
      <c r="F135" s="65">
        <f t="shared" si="16"/>
        <v>0</v>
      </c>
      <c r="G135" s="27">
        <f t="shared" si="18"/>
        <v>30818.6</v>
      </c>
      <c r="H135" s="66">
        <v>0</v>
      </c>
      <c r="I135" s="27">
        <v>0</v>
      </c>
      <c r="J135" s="63"/>
    </row>
    <row r="136" spans="2:10" hidden="1" x14ac:dyDescent="0.35">
      <c r="B136" s="11">
        <v>20</v>
      </c>
      <c r="C136" s="17" t="s">
        <v>37</v>
      </c>
      <c r="D136" s="27"/>
      <c r="E136" s="27"/>
      <c r="F136" s="65">
        <f t="shared" si="16"/>
        <v>0</v>
      </c>
      <c r="G136" s="27">
        <f t="shared" si="18"/>
        <v>30818.6</v>
      </c>
      <c r="H136" s="66">
        <v>0</v>
      </c>
      <c r="I136" s="27">
        <v>0</v>
      </c>
      <c r="J136" s="63"/>
    </row>
    <row r="137" spans="2:10" hidden="1" x14ac:dyDescent="0.35">
      <c r="B137" s="11">
        <v>21</v>
      </c>
      <c r="C137" s="17" t="s">
        <v>38</v>
      </c>
      <c r="D137" s="27"/>
      <c r="E137" s="27"/>
      <c r="F137" s="65">
        <f t="shared" si="16"/>
        <v>0</v>
      </c>
      <c r="G137" s="27">
        <f t="shared" si="18"/>
        <v>30818.6</v>
      </c>
      <c r="H137" s="66">
        <v>0</v>
      </c>
      <c r="I137" s="27">
        <v>0</v>
      </c>
      <c r="J137" s="63"/>
    </row>
    <row r="138" spans="2:10" hidden="1" x14ac:dyDescent="0.35">
      <c r="B138" s="11">
        <v>22</v>
      </c>
      <c r="C138" s="17" t="s">
        <v>39</v>
      </c>
      <c r="D138" s="27"/>
      <c r="E138" s="27"/>
      <c r="F138" s="65">
        <f t="shared" si="16"/>
        <v>0</v>
      </c>
      <c r="G138" s="27">
        <f t="shared" si="18"/>
        <v>30818.6</v>
      </c>
      <c r="H138" s="66">
        <v>0</v>
      </c>
      <c r="I138" s="27">
        <v>0</v>
      </c>
      <c r="J138" s="63"/>
    </row>
    <row r="139" spans="2:10" hidden="1" x14ac:dyDescent="0.35">
      <c r="B139" s="11">
        <v>23</v>
      </c>
      <c r="C139" s="17" t="s">
        <v>40</v>
      </c>
      <c r="D139" s="27"/>
      <c r="E139" s="27"/>
      <c r="F139" s="65">
        <f t="shared" si="16"/>
        <v>0</v>
      </c>
      <c r="G139" s="27">
        <f t="shared" si="18"/>
        <v>30818.6</v>
      </c>
      <c r="H139" s="66">
        <v>0</v>
      </c>
      <c r="I139" s="27">
        <v>0</v>
      </c>
      <c r="J139" s="63"/>
    </row>
    <row r="140" spans="2:10" hidden="1" x14ac:dyDescent="0.35">
      <c r="B140" s="11">
        <v>24</v>
      </c>
      <c r="C140" s="17" t="s">
        <v>41</v>
      </c>
      <c r="D140" s="27"/>
      <c r="E140" s="27"/>
      <c r="F140" s="65">
        <f t="shared" si="16"/>
        <v>0</v>
      </c>
      <c r="G140" s="27">
        <f t="shared" si="18"/>
        <v>30818.6</v>
      </c>
      <c r="H140" s="66">
        <v>0</v>
      </c>
      <c r="I140" s="27">
        <v>0</v>
      </c>
      <c r="J140" s="63"/>
    </row>
    <row r="141" spans="2:10" hidden="1" x14ac:dyDescent="0.35">
      <c r="B141" s="11">
        <v>25</v>
      </c>
      <c r="C141" s="19" t="s">
        <v>42</v>
      </c>
      <c r="D141" s="27"/>
      <c r="E141" s="27"/>
      <c r="F141" s="65">
        <f t="shared" si="16"/>
        <v>0</v>
      </c>
      <c r="G141" s="27">
        <f t="shared" si="18"/>
        <v>30818.6</v>
      </c>
      <c r="H141" s="66">
        <v>0</v>
      </c>
      <c r="I141" s="27">
        <v>0</v>
      </c>
      <c r="J141" s="63"/>
    </row>
    <row r="142" spans="2:10" hidden="1" x14ac:dyDescent="0.35">
      <c r="B142" s="29">
        <v>26</v>
      </c>
      <c r="C142" s="30" t="s">
        <v>43</v>
      </c>
      <c r="D142" s="34"/>
      <c r="E142" s="34"/>
      <c r="F142" s="94">
        <f t="shared" si="16"/>
        <v>0</v>
      </c>
      <c r="G142" s="34">
        <f t="shared" si="18"/>
        <v>30818.6</v>
      </c>
      <c r="H142" s="95">
        <v>0</v>
      </c>
      <c r="I142" s="34">
        <v>0</v>
      </c>
      <c r="J142" s="63"/>
    </row>
    <row r="143" spans="2:10" x14ac:dyDescent="0.35">
      <c r="B143" s="5"/>
      <c r="C143" s="5"/>
      <c r="D143" s="6"/>
      <c r="E143" s="6"/>
      <c r="F143" s="6"/>
      <c r="G143" s="6"/>
      <c r="H143" s="6"/>
      <c r="I143" s="6"/>
      <c r="J143" s="6"/>
    </row>
    <row r="144" spans="2:10" x14ac:dyDescent="0.35">
      <c r="B144" s="8" t="s">
        <v>44</v>
      </c>
      <c r="C144" s="5"/>
      <c r="D144" s="6"/>
      <c r="E144" s="6"/>
      <c r="F144" s="6"/>
      <c r="G144" s="6"/>
      <c r="H144" s="6"/>
      <c r="I144" s="6"/>
      <c r="J144" s="6"/>
    </row>
    <row r="145" spans="2:10" x14ac:dyDescent="0.35">
      <c r="B145" s="9" t="s">
        <v>45</v>
      </c>
      <c r="C145" s="5"/>
      <c r="D145" s="6"/>
      <c r="E145" s="6"/>
      <c r="F145" s="6"/>
      <c r="G145" s="6"/>
      <c r="H145" s="6"/>
      <c r="I145" s="6"/>
      <c r="J145" s="6"/>
    </row>
    <row r="146" spans="2:10" x14ac:dyDescent="0.35">
      <c r="B146" s="9" t="s">
        <v>46</v>
      </c>
      <c r="C146" s="5"/>
      <c r="D146" s="6"/>
      <c r="E146" s="6"/>
      <c r="F146" s="6"/>
      <c r="G146" s="6"/>
      <c r="H146" s="6"/>
      <c r="I146" s="6"/>
      <c r="J146" s="6"/>
    </row>
    <row r="147" spans="2:10" x14ac:dyDescent="0.35">
      <c r="B147" s="9" t="s">
        <v>47</v>
      </c>
      <c r="C147" s="5"/>
      <c r="D147" s="6"/>
      <c r="E147" s="6"/>
      <c r="F147" s="6"/>
      <c r="G147" s="6"/>
      <c r="H147" s="6"/>
      <c r="I147" s="6"/>
      <c r="J147" s="6"/>
    </row>
  </sheetData>
  <mergeCells count="43">
    <mergeCell ref="B118:B119"/>
    <mergeCell ref="C118:C119"/>
    <mergeCell ref="H118:H119"/>
    <mergeCell ref="I118:I119"/>
    <mergeCell ref="D119:G119"/>
    <mergeCell ref="B81:B82"/>
    <mergeCell ref="C81:C82"/>
    <mergeCell ref="H81:H82"/>
    <mergeCell ref="I81:I82"/>
    <mergeCell ref="D82:G82"/>
    <mergeCell ref="B44:B45"/>
    <mergeCell ref="C44:C45"/>
    <mergeCell ref="H44:H45"/>
    <mergeCell ref="I44:I45"/>
    <mergeCell ref="D45:G45"/>
    <mergeCell ref="H116:I117"/>
    <mergeCell ref="D117:G117"/>
    <mergeCell ref="D113:I113"/>
    <mergeCell ref="D116:G116"/>
    <mergeCell ref="D114:I114"/>
    <mergeCell ref="B115:J115"/>
    <mergeCell ref="H79:I80"/>
    <mergeCell ref="D80:G80"/>
    <mergeCell ref="D76:I76"/>
    <mergeCell ref="D79:G79"/>
    <mergeCell ref="D77:I77"/>
    <mergeCell ref="B78:J78"/>
    <mergeCell ref="H42:I43"/>
    <mergeCell ref="D43:G43"/>
    <mergeCell ref="D39:I39"/>
    <mergeCell ref="D42:G42"/>
    <mergeCell ref="D40:I40"/>
    <mergeCell ref="B41:J41"/>
    <mergeCell ref="B7:B8"/>
    <mergeCell ref="C7:C8"/>
    <mergeCell ref="H7:H8"/>
    <mergeCell ref="I7:I8"/>
    <mergeCell ref="D8:G8"/>
    <mergeCell ref="D3:I3"/>
    <mergeCell ref="B4:J4"/>
    <mergeCell ref="D5:G5"/>
    <mergeCell ref="H5:I6"/>
    <mergeCell ref="D6:G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92c4ad-f857-4666-8381-664e085e6325" xsi:nil="true"/>
    <lcf76f155ced4ddcb4097134ff3c332f xmlns="a31ffaa2-1bbc-4f9a-8f8a-10b2c32352a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32C3742ADA8A479F576B0C198AE5FC" ma:contentTypeVersion="14" ma:contentTypeDescription="Create a new document." ma:contentTypeScope="" ma:versionID="ef56800d550df01386388f46183ca177">
  <xsd:schema xmlns:xsd="http://www.w3.org/2001/XMLSchema" xmlns:xs="http://www.w3.org/2001/XMLSchema" xmlns:p="http://schemas.microsoft.com/office/2006/metadata/properties" xmlns:ns2="a31ffaa2-1bbc-4f9a-8f8a-10b2c32352a4" xmlns:ns3="3792c4ad-f857-4666-8381-664e085e6325" targetNamespace="http://schemas.microsoft.com/office/2006/metadata/properties" ma:root="true" ma:fieldsID="7a0bf12e117ae970694129e886733f85" ns2:_="" ns3:_="">
    <xsd:import namespace="a31ffaa2-1bbc-4f9a-8f8a-10b2c32352a4"/>
    <xsd:import namespace="3792c4ad-f857-4666-8381-664e085e63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ffaa2-1bbc-4f9a-8f8a-10b2c32352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c10e49e-0500-4f4b-ae64-0698345295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92c4ad-f857-4666-8381-664e085e632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859721b-2df4-418b-a0ba-1214f26a83ce}" ma:internalName="TaxCatchAll" ma:showField="CatchAllData" ma:web="3792c4ad-f857-4666-8381-664e085e63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59D03D-6989-4AC4-80C9-0DC00212A5DD}">
  <ds:schemaRefs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  <ds:schemaRef ds:uri="http://purl.org/dc/elements/1.1/"/>
    <ds:schemaRef ds:uri="a31ffaa2-1bbc-4f9a-8f8a-10b2c32352a4"/>
    <ds:schemaRef ds:uri="http://schemas.microsoft.com/office/2006/documentManagement/types"/>
    <ds:schemaRef ds:uri="3792c4ad-f857-4666-8381-664e085e632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4AE09B4-6814-4816-B1AA-F2BCE2185E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D10119-2C5C-49AD-B5DB-67BF896B12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1ffaa2-1bbc-4f9a-8f8a-10b2c32352a4"/>
    <ds:schemaRef ds:uri="3792c4ad-f857-4666-8381-664e085e63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Please Note</vt:lpstr>
      <vt:lpstr>Total Raisins</vt:lpstr>
      <vt:lpstr>Thompsons</vt:lpstr>
      <vt:lpstr>Flame</vt:lpstr>
      <vt:lpstr>SA Sultana</vt:lpstr>
      <vt:lpstr>OR Sultana</vt:lpstr>
      <vt:lpstr>Goldens</vt:lpstr>
      <vt:lpstr>Currants</vt:lpstr>
      <vt:lpstr>Other</vt:lpstr>
      <vt:lpstr> Specific add product detail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Chantelle Kotze</cp:lastModifiedBy>
  <cp:revision/>
  <dcterms:created xsi:type="dcterms:W3CDTF">2026-02-11T09:02:17Z</dcterms:created>
  <dcterms:modified xsi:type="dcterms:W3CDTF">2026-03-05T09:31:54Z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0x010100E232C3742ADA8A479F576B0C198AE5FC</vt:lpwstr>
  </property>
  <property fmtid="{D5CDD505-2E9C-101B-9397-08002B2CF9AE}" pid="3" name="MediaServiceImageTags">
    <vt:lpwstr/>
  </property>
</Properties>
</file>