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6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8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aisinsa.sharepoint.com/sites/RaisinSA/Shared Documents/2026/3. Market Intelligence and Access/3. MA/1. Intelligence/6. Weekly Intakes/Weekly intakes/Week 14/"/>
    </mc:Choice>
  </mc:AlternateContent>
  <xr:revisionPtr revIDLastSave="3102" documentId="8_{624CB44F-547F-4F75-BABA-84F1C73E0C81}" xr6:coauthVersionLast="47" xr6:coauthVersionMax="47" xr10:uidLastSave="{8EE6E4B9-435F-413A-81DC-B8350B933898}"/>
  <bookViews>
    <workbookView xWindow="-108" yWindow="-108" windowWidth="23256" windowHeight="12456" activeTab="1" xr2:uid="{00000000-000D-0000-FFFF-FFFF00000000}"/>
  </bookViews>
  <sheets>
    <sheet name="Please Note" sheetId="14" r:id="rId1"/>
    <sheet name="Total Raisins" sheetId="1" r:id="rId2"/>
    <sheet name="Thompsons" sheetId="4" r:id="rId3"/>
    <sheet name="Flame" sheetId="11" r:id="rId4"/>
    <sheet name="SA Sultana" sheetId="5" r:id="rId5"/>
    <sheet name="OR Sultana" sheetId="10" r:id="rId6"/>
    <sheet name="Goldens" sheetId="7" r:id="rId7"/>
    <sheet name="Currants" sheetId="9" r:id="rId8"/>
    <sheet name="Other" sheetId="12" r:id="rId9"/>
    <sheet name=" Specific add product detail" sheetId="2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0" i="12" l="1"/>
  <c r="F130" i="12"/>
  <c r="F129" i="12"/>
  <c r="G129" i="12" s="1"/>
  <c r="I93" i="12"/>
  <c r="F93" i="12"/>
  <c r="F92" i="12"/>
  <c r="G92" i="12" s="1"/>
  <c r="I56" i="12"/>
  <c r="F56" i="12"/>
  <c r="F55" i="12"/>
  <c r="G55" i="12" s="1"/>
  <c r="I19" i="12"/>
  <c r="F19" i="12"/>
  <c r="F18" i="12"/>
  <c r="F130" i="9"/>
  <c r="F129" i="9"/>
  <c r="G129" i="9" s="1"/>
  <c r="I93" i="9"/>
  <c r="F93" i="9"/>
  <c r="F92" i="9"/>
  <c r="G92" i="9" s="1"/>
  <c r="F56" i="9"/>
  <c r="F55" i="9"/>
  <c r="G55" i="9" s="1"/>
  <c r="I19" i="9"/>
  <c r="F19" i="9"/>
  <c r="F18" i="9"/>
  <c r="I130" i="7"/>
  <c r="F130" i="7"/>
  <c r="F129" i="7"/>
  <c r="G129" i="7" s="1"/>
  <c r="F94" i="7"/>
  <c r="H93" i="7"/>
  <c r="H94" i="7" s="1"/>
  <c r="F93" i="7"/>
  <c r="G93" i="7" s="1"/>
  <c r="G94" i="7" s="1"/>
  <c r="I56" i="7"/>
  <c r="F56" i="7"/>
  <c r="H55" i="7"/>
  <c r="G55" i="7"/>
  <c r="G56" i="7" s="1"/>
  <c r="H56" i="7" s="1"/>
  <c r="F55" i="7"/>
  <c r="I19" i="7"/>
  <c r="F19" i="7"/>
  <c r="F18" i="7"/>
  <c r="I130" i="10"/>
  <c r="F130" i="10"/>
  <c r="F129" i="10"/>
  <c r="G129" i="10" s="1"/>
  <c r="F93" i="10"/>
  <c r="F92" i="10"/>
  <c r="G92" i="10" s="1"/>
  <c r="I56" i="10"/>
  <c r="F56" i="10"/>
  <c r="F55" i="10"/>
  <c r="G55" i="10" s="1"/>
  <c r="I19" i="10"/>
  <c r="F19" i="10"/>
  <c r="F18" i="10"/>
  <c r="I130" i="5"/>
  <c r="F130" i="5"/>
  <c r="F129" i="5"/>
  <c r="G129" i="5" s="1"/>
  <c r="F93" i="5"/>
  <c r="F92" i="5"/>
  <c r="G92" i="5" s="1"/>
  <c r="I56" i="5"/>
  <c r="F56" i="5"/>
  <c r="F55" i="5"/>
  <c r="G55" i="5" s="1"/>
  <c r="I19" i="5"/>
  <c r="F19" i="5"/>
  <c r="F18" i="5"/>
  <c r="I130" i="11"/>
  <c r="F130" i="11"/>
  <c r="F129" i="11"/>
  <c r="G129" i="11" s="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I93" i="11"/>
  <c r="F93" i="11"/>
  <c r="F92" i="11"/>
  <c r="G92" i="11" s="1"/>
  <c r="I56" i="11"/>
  <c r="G56" i="11"/>
  <c r="H56" i="11" s="1"/>
  <c r="F56" i="11"/>
  <c r="G55" i="11"/>
  <c r="H55" i="11" s="1"/>
  <c r="F55" i="11"/>
  <c r="I19" i="11"/>
  <c r="F19" i="11"/>
  <c r="F18" i="11"/>
  <c r="I130" i="4"/>
  <c r="F130" i="4"/>
  <c r="F129" i="4"/>
  <c r="G129" i="4" s="1"/>
  <c r="I93" i="4"/>
  <c r="F93" i="4"/>
  <c r="F92" i="4"/>
  <c r="G92" i="4" s="1"/>
  <c r="I56" i="4"/>
  <c r="F56" i="4"/>
  <c r="F55" i="4"/>
  <c r="G55" i="4" s="1"/>
  <c r="I19" i="4"/>
  <c r="F19" i="4"/>
  <c r="F18" i="4"/>
  <c r="I130" i="1"/>
  <c r="F130" i="1"/>
  <c r="F129" i="1"/>
  <c r="I93" i="1"/>
  <c r="F93" i="1"/>
  <c r="F92" i="1"/>
  <c r="I56" i="1"/>
  <c r="F56" i="1"/>
  <c r="F55" i="1"/>
  <c r="I19" i="1"/>
  <c r="F19" i="1"/>
  <c r="F18" i="1"/>
  <c r="F747" i="20"/>
  <c r="F746" i="20"/>
  <c r="F745" i="20"/>
  <c r="F744" i="20"/>
  <c r="F743" i="20"/>
  <c r="F742" i="20"/>
  <c r="F741" i="20"/>
  <c r="F740" i="20"/>
  <c r="F739" i="20"/>
  <c r="F738" i="20"/>
  <c r="F737" i="20"/>
  <c r="F736" i="20"/>
  <c r="F735" i="20"/>
  <c r="F734" i="20"/>
  <c r="F733" i="20"/>
  <c r="F732" i="20"/>
  <c r="F731" i="20"/>
  <c r="G730" i="20"/>
  <c r="G731" i="20" s="1"/>
  <c r="G732" i="20" s="1"/>
  <c r="G733" i="20" s="1"/>
  <c r="G734" i="20" s="1"/>
  <c r="G735" i="20" s="1"/>
  <c r="G736" i="20" s="1"/>
  <c r="G737" i="20" s="1"/>
  <c r="G738" i="20" s="1"/>
  <c r="G739" i="20" s="1"/>
  <c r="G740" i="20" s="1"/>
  <c r="G741" i="20" s="1"/>
  <c r="G742" i="20" s="1"/>
  <c r="G743" i="20" s="1"/>
  <c r="G744" i="20" s="1"/>
  <c r="G745" i="20" s="1"/>
  <c r="G746" i="20" s="1"/>
  <c r="G747" i="20" s="1"/>
  <c r="F730" i="20"/>
  <c r="F729" i="20"/>
  <c r="F728" i="20"/>
  <c r="F727" i="20"/>
  <c r="G726" i="20"/>
  <c r="G727" i="20" s="1"/>
  <c r="G728" i="20" s="1"/>
  <c r="G729" i="20" s="1"/>
  <c r="F726" i="20"/>
  <c r="F710" i="20"/>
  <c r="F709" i="20"/>
  <c r="F708" i="20"/>
  <c r="F707" i="20"/>
  <c r="F706" i="20"/>
  <c r="F705" i="20"/>
  <c r="F704" i="20"/>
  <c r="F703" i="20"/>
  <c r="F702" i="20"/>
  <c r="F701" i="20"/>
  <c r="F700" i="20"/>
  <c r="F699" i="20"/>
  <c r="F698" i="20"/>
  <c r="F697" i="20"/>
  <c r="F696" i="20"/>
  <c r="F695" i="20"/>
  <c r="F694" i="20"/>
  <c r="F693" i="20"/>
  <c r="G692" i="20"/>
  <c r="G693" i="20" s="1"/>
  <c r="G694" i="20" s="1"/>
  <c r="G695" i="20" s="1"/>
  <c r="G696" i="20" s="1"/>
  <c r="G697" i="20" s="1"/>
  <c r="G698" i="20" s="1"/>
  <c r="G699" i="20" s="1"/>
  <c r="G700" i="20" s="1"/>
  <c r="G701" i="20" s="1"/>
  <c r="G702" i="20" s="1"/>
  <c r="G703" i="20" s="1"/>
  <c r="G704" i="20" s="1"/>
  <c r="G705" i="20" s="1"/>
  <c r="G706" i="20" s="1"/>
  <c r="G707" i="20" s="1"/>
  <c r="G708" i="20" s="1"/>
  <c r="G709" i="20" s="1"/>
  <c r="G710" i="20" s="1"/>
  <c r="F692" i="20"/>
  <c r="F673" i="20"/>
  <c r="F672" i="20"/>
  <c r="F671" i="20"/>
  <c r="F670" i="20"/>
  <c r="F669" i="20"/>
  <c r="F668" i="20"/>
  <c r="F667" i="20"/>
  <c r="F666" i="20"/>
  <c r="F665" i="20"/>
  <c r="F664" i="20"/>
  <c r="F663" i="20"/>
  <c r="F662" i="20"/>
  <c r="F661" i="20"/>
  <c r="F660" i="20"/>
  <c r="F659" i="20"/>
  <c r="F658" i="20"/>
  <c r="F657" i="20"/>
  <c r="F656" i="20"/>
  <c r="F655" i="20"/>
  <c r="E654" i="20"/>
  <c r="F654" i="20" s="1"/>
  <c r="F653" i="20"/>
  <c r="F652" i="20"/>
  <c r="F651" i="20"/>
  <c r="G651" i="20" s="1"/>
  <c r="G652" i="20" s="1"/>
  <c r="G653" i="20" s="1"/>
  <c r="F636" i="20"/>
  <c r="F635" i="20"/>
  <c r="F634" i="20"/>
  <c r="F633" i="20"/>
  <c r="F632" i="20"/>
  <c r="F631" i="20"/>
  <c r="F630" i="20"/>
  <c r="F629" i="20"/>
  <c r="F628" i="20"/>
  <c r="F627" i="20"/>
  <c r="F626" i="20"/>
  <c r="F625" i="20"/>
  <c r="F624" i="20"/>
  <c r="F623" i="20"/>
  <c r="F622" i="20"/>
  <c r="F621" i="20"/>
  <c r="F620" i="20"/>
  <c r="F619" i="20"/>
  <c r="F618" i="20"/>
  <c r="E617" i="20"/>
  <c r="F617" i="20" s="1"/>
  <c r="F616" i="20"/>
  <c r="F615" i="20"/>
  <c r="F614" i="20"/>
  <c r="G614" i="20" s="1"/>
  <c r="G615" i="20" s="1"/>
  <c r="G616" i="20" s="1"/>
  <c r="G617" i="20" s="1"/>
  <c r="G618" i="20" s="1"/>
  <c r="G619" i="20" s="1"/>
  <c r="G620" i="20" s="1"/>
  <c r="G621" i="20" s="1"/>
  <c r="G622" i="20" s="1"/>
  <c r="G623" i="20" s="1"/>
  <c r="G624" i="20" s="1"/>
  <c r="G625" i="20" s="1"/>
  <c r="G626" i="20" s="1"/>
  <c r="G627" i="20" s="1"/>
  <c r="G628" i="20" s="1"/>
  <c r="G629" i="20" s="1"/>
  <c r="G630" i="20" s="1"/>
  <c r="G631" i="20" s="1"/>
  <c r="G632" i="20" s="1"/>
  <c r="G633" i="20" s="1"/>
  <c r="G634" i="20" s="1"/>
  <c r="G635" i="20" s="1"/>
  <c r="G636" i="20" s="1"/>
  <c r="F596" i="20"/>
  <c r="F595" i="20"/>
  <c r="F594" i="20"/>
  <c r="F593" i="20"/>
  <c r="F592" i="20"/>
  <c r="F591" i="20"/>
  <c r="F590" i="20"/>
  <c r="F589" i="20"/>
  <c r="F588" i="20"/>
  <c r="F587" i="20"/>
  <c r="F586" i="20"/>
  <c r="F585" i="20"/>
  <c r="F584" i="20"/>
  <c r="F583" i="20"/>
  <c r="F582" i="20"/>
  <c r="F581" i="20"/>
  <c r="F580" i="20"/>
  <c r="F579" i="20"/>
  <c r="F578" i="20"/>
  <c r="F577" i="20"/>
  <c r="G577" i="20" s="1"/>
  <c r="G578" i="20" s="1"/>
  <c r="G579" i="20" s="1"/>
  <c r="G580" i="20" s="1"/>
  <c r="G581" i="20" s="1"/>
  <c r="G582" i="20" s="1"/>
  <c r="G583" i="20" s="1"/>
  <c r="G584" i="20" s="1"/>
  <c r="G585" i="20" s="1"/>
  <c r="G586" i="20" s="1"/>
  <c r="G587" i="20" s="1"/>
  <c r="G588" i="20" s="1"/>
  <c r="G589" i="20" s="1"/>
  <c r="G590" i="20" s="1"/>
  <c r="G591" i="20" s="1"/>
  <c r="G592" i="20" s="1"/>
  <c r="G593" i="20" s="1"/>
  <c r="G594" i="20" s="1"/>
  <c r="G595" i="20" s="1"/>
  <c r="G596" i="20" s="1"/>
  <c r="F576" i="20"/>
  <c r="F575" i="20"/>
  <c r="F574" i="20"/>
  <c r="G574" i="20" s="1"/>
  <c r="G575" i="20" s="1"/>
  <c r="G576" i="20" s="1"/>
  <c r="F559" i="20"/>
  <c r="F558" i="20"/>
  <c r="F557" i="20"/>
  <c r="F556" i="20"/>
  <c r="F555" i="20"/>
  <c r="F554" i="20"/>
  <c r="F553" i="20"/>
  <c r="F552" i="20"/>
  <c r="F551" i="20"/>
  <c r="F550" i="20"/>
  <c r="F549" i="20"/>
  <c r="F548" i="20"/>
  <c r="F547" i="20"/>
  <c r="F546" i="20"/>
  <c r="F545" i="20"/>
  <c r="F544" i="20"/>
  <c r="F543" i="20"/>
  <c r="F542" i="20"/>
  <c r="D541" i="20"/>
  <c r="F541" i="20" s="1"/>
  <c r="F540" i="20"/>
  <c r="G539" i="20"/>
  <c r="G540" i="20" s="1"/>
  <c r="F539" i="20"/>
  <c r="G538" i="20"/>
  <c r="F538" i="20"/>
  <c r="F522" i="20"/>
  <c r="F521" i="20"/>
  <c r="F520" i="20"/>
  <c r="F519" i="20"/>
  <c r="F518" i="20"/>
  <c r="F517" i="20"/>
  <c r="F516" i="20"/>
  <c r="F515" i="20"/>
  <c r="F514" i="20"/>
  <c r="F513" i="20"/>
  <c r="F512" i="20"/>
  <c r="F511" i="20"/>
  <c r="F510" i="20"/>
  <c r="F509" i="20"/>
  <c r="F508" i="20"/>
  <c r="F507" i="20"/>
  <c r="F506" i="20"/>
  <c r="F505" i="20"/>
  <c r="F504" i="20"/>
  <c r="F503" i="20"/>
  <c r="F502" i="20"/>
  <c r="G502" i="20" s="1"/>
  <c r="F501" i="20"/>
  <c r="G501" i="20" s="1"/>
  <c r="F485" i="20"/>
  <c r="F484" i="20"/>
  <c r="F483" i="20"/>
  <c r="F482" i="20"/>
  <c r="F481" i="20"/>
  <c r="F480" i="20"/>
  <c r="F479" i="20"/>
  <c r="F478" i="20"/>
  <c r="F477" i="20"/>
  <c r="F476" i="20"/>
  <c r="F475" i="20"/>
  <c r="F474" i="20"/>
  <c r="F473" i="20"/>
  <c r="F472" i="20"/>
  <c r="F471" i="20"/>
  <c r="F470" i="20"/>
  <c r="F469" i="20"/>
  <c r="F468" i="20"/>
  <c r="F467" i="20"/>
  <c r="F466" i="20"/>
  <c r="F465" i="20"/>
  <c r="F464" i="20"/>
  <c r="F463" i="20"/>
  <c r="G463" i="20" s="1"/>
  <c r="G464" i="20" s="1"/>
  <c r="G465" i="20" s="1"/>
  <c r="G466" i="20" s="1"/>
  <c r="G467" i="20" s="1"/>
  <c r="G468" i="20" s="1"/>
  <c r="G469" i="20" s="1"/>
  <c r="G470" i="20" s="1"/>
  <c r="G471" i="20" s="1"/>
  <c r="G472" i="20" s="1"/>
  <c r="G473" i="20" s="1"/>
  <c r="G474" i="20" s="1"/>
  <c r="G475" i="20" s="1"/>
  <c r="G476" i="20" s="1"/>
  <c r="G477" i="20" s="1"/>
  <c r="G478" i="20" s="1"/>
  <c r="G479" i="20" s="1"/>
  <c r="G480" i="20" s="1"/>
  <c r="G481" i="20" s="1"/>
  <c r="G482" i="20" s="1"/>
  <c r="G483" i="20" s="1"/>
  <c r="G484" i="20" s="1"/>
  <c r="G485" i="20" s="1"/>
  <c r="F445" i="20"/>
  <c r="F444" i="20"/>
  <c r="F443" i="20"/>
  <c r="F442" i="20"/>
  <c r="F441" i="20"/>
  <c r="F440" i="20"/>
  <c r="F439" i="20"/>
  <c r="F438" i="20"/>
  <c r="F437" i="20"/>
  <c r="F436" i="20"/>
  <c r="F435" i="20"/>
  <c r="F434" i="20"/>
  <c r="F433" i="20"/>
  <c r="F432" i="20"/>
  <c r="F431" i="20"/>
  <c r="F430" i="20"/>
  <c r="F429" i="20"/>
  <c r="F428" i="20"/>
  <c r="F427" i="20"/>
  <c r="F426" i="20"/>
  <c r="F425" i="20"/>
  <c r="F424" i="20"/>
  <c r="F423" i="20"/>
  <c r="G423" i="20" s="1"/>
  <c r="G424" i="20" s="1"/>
  <c r="G425" i="20" s="1"/>
  <c r="G426" i="20" s="1"/>
  <c r="G427" i="20" s="1"/>
  <c r="G428" i="20" s="1"/>
  <c r="G429" i="20" s="1"/>
  <c r="G430" i="20" s="1"/>
  <c r="G431" i="20" s="1"/>
  <c r="G432" i="20" s="1"/>
  <c r="G433" i="20" s="1"/>
  <c r="G434" i="20" s="1"/>
  <c r="G435" i="20" s="1"/>
  <c r="G436" i="20" s="1"/>
  <c r="G437" i="20" s="1"/>
  <c r="G438" i="20" s="1"/>
  <c r="G439" i="20" s="1"/>
  <c r="G440" i="20" s="1"/>
  <c r="G441" i="20" s="1"/>
  <c r="G442" i="20" s="1"/>
  <c r="G443" i="20" s="1"/>
  <c r="G444" i="20" s="1"/>
  <c r="G445" i="20" s="1"/>
  <c r="F408" i="20"/>
  <c r="F407" i="20"/>
  <c r="F406" i="20"/>
  <c r="F405" i="20"/>
  <c r="F404" i="20"/>
  <c r="F403" i="20"/>
  <c r="F402" i="20"/>
  <c r="F401" i="20"/>
  <c r="F400" i="20"/>
  <c r="F399" i="20"/>
  <c r="F398" i="20"/>
  <c r="F397" i="20"/>
  <c r="F396" i="20"/>
  <c r="F395" i="20"/>
  <c r="F394" i="20"/>
  <c r="F393" i="20"/>
  <c r="F392" i="20"/>
  <c r="F391" i="20"/>
  <c r="F390" i="20"/>
  <c r="F389" i="20"/>
  <c r="G388" i="20"/>
  <c r="G389" i="20" s="1"/>
  <c r="G390" i="20" s="1"/>
  <c r="G391" i="20" s="1"/>
  <c r="G392" i="20" s="1"/>
  <c r="G393" i="20" s="1"/>
  <c r="G394" i="20" s="1"/>
  <c r="G395" i="20" s="1"/>
  <c r="G396" i="20" s="1"/>
  <c r="G397" i="20" s="1"/>
  <c r="G398" i="20" s="1"/>
  <c r="G399" i="20" s="1"/>
  <c r="G400" i="20" s="1"/>
  <c r="G401" i="20" s="1"/>
  <c r="G402" i="20" s="1"/>
  <c r="G403" i="20" s="1"/>
  <c r="G404" i="20" s="1"/>
  <c r="G405" i="20" s="1"/>
  <c r="G406" i="20" s="1"/>
  <c r="G407" i="20" s="1"/>
  <c r="G408" i="20" s="1"/>
  <c r="F388" i="20"/>
  <c r="G387" i="20"/>
  <c r="F387" i="20"/>
  <c r="F371" i="20"/>
  <c r="F370" i="20"/>
  <c r="F369" i="20"/>
  <c r="F368" i="20"/>
  <c r="F367" i="20"/>
  <c r="F366" i="20"/>
  <c r="F365" i="20"/>
  <c r="F364" i="20"/>
  <c r="F363" i="20"/>
  <c r="F362" i="20"/>
  <c r="F361" i="20"/>
  <c r="F360" i="20"/>
  <c r="F359" i="20"/>
  <c r="F358" i="20"/>
  <c r="F357" i="20"/>
  <c r="F356" i="20"/>
  <c r="F355" i="20"/>
  <c r="F354" i="20"/>
  <c r="F353" i="20"/>
  <c r="E352" i="20"/>
  <c r="F352" i="20" s="1"/>
  <c r="F351" i="20"/>
  <c r="F350" i="20"/>
  <c r="F349" i="20"/>
  <c r="G349" i="20" s="1"/>
  <c r="G350" i="20" s="1"/>
  <c r="G351" i="20" s="1"/>
  <c r="G352" i="20" s="1"/>
  <c r="G353" i="20" s="1"/>
  <c r="G354" i="20" s="1"/>
  <c r="G355" i="20" s="1"/>
  <c r="G356" i="20" s="1"/>
  <c r="G357" i="20" s="1"/>
  <c r="G358" i="20" s="1"/>
  <c r="G359" i="20" s="1"/>
  <c r="G360" i="20" s="1"/>
  <c r="G361" i="20" s="1"/>
  <c r="G362" i="20" s="1"/>
  <c r="G363" i="20" s="1"/>
  <c r="G364" i="20" s="1"/>
  <c r="G365" i="20" s="1"/>
  <c r="G366" i="20" s="1"/>
  <c r="G367" i="20" s="1"/>
  <c r="G368" i="20" s="1"/>
  <c r="G369" i="20" s="1"/>
  <c r="G370" i="20" s="1"/>
  <c r="G371" i="20" s="1"/>
  <c r="F334" i="20"/>
  <c r="F333" i="20"/>
  <c r="F332" i="20"/>
  <c r="F331" i="20"/>
  <c r="F330" i="20"/>
  <c r="F329" i="20"/>
  <c r="F328" i="20"/>
  <c r="F327" i="20"/>
  <c r="F326" i="20"/>
  <c r="F325" i="20"/>
  <c r="F324" i="20"/>
  <c r="F323" i="20"/>
  <c r="F322" i="20"/>
  <c r="F321" i="20"/>
  <c r="F320" i="20"/>
  <c r="F319" i="20"/>
  <c r="F318" i="20"/>
  <c r="F317" i="20"/>
  <c r="F316" i="20"/>
  <c r="E315" i="20"/>
  <c r="F315" i="20" s="1"/>
  <c r="F314" i="20"/>
  <c r="F313" i="20"/>
  <c r="G312" i="20"/>
  <c r="G313" i="20" s="1"/>
  <c r="G314" i="20" s="1"/>
  <c r="G315" i="20" s="1"/>
  <c r="G316" i="20" s="1"/>
  <c r="G317" i="20" s="1"/>
  <c r="G318" i="20" s="1"/>
  <c r="G319" i="20" s="1"/>
  <c r="G320" i="20" s="1"/>
  <c r="G321" i="20" s="1"/>
  <c r="G322" i="20" s="1"/>
  <c r="G323" i="20" s="1"/>
  <c r="G324" i="20" s="1"/>
  <c r="G325" i="20" s="1"/>
  <c r="G326" i="20" s="1"/>
  <c r="G327" i="20" s="1"/>
  <c r="G328" i="20" s="1"/>
  <c r="G329" i="20" s="1"/>
  <c r="G330" i="20" s="1"/>
  <c r="G331" i="20" s="1"/>
  <c r="G332" i="20" s="1"/>
  <c r="G333" i="20" s="1"/>
  <c r="G334" i="20" s="1"/>
  <c r="F312" i="20"/>
  <c r="F295" i="20"/>
  <c r="F294" i="20"/>
  <c r="F293" i="20"/>
  <c r="F292" i="20"/>
  <c r="F291" i="20"/>
  <c r="F290" i="20"/>
  <c r="F289" i="20"/>
  <c r="F288" i="20"/>
  <c r="F287" i="20"/>
  <c r="F286" i="20"/>
  <c r="F285" i="20"/>
  <c r="F284" i="20"/>
  <c r="F283" i="20"/>
  <c r="F282" i="20"/>
  <c r="F281" i="20"/>
  <c r="F280" i="20"/>
  <c r="F279" i="20"/>
  <c r="G279" i="20" s="1"/>
  <c r="G280" i="20" s="1"/>
  <c r="G281" i="20" s="1"/>
  <c r="G282" i="20" s="1"/>
  <c r="G283" i="20" s="1"/>
  <c r="G284" i="20" s="1"/>
  <c r="G285" i="20" s="1"/>
  <c r="G286" i="20" s="1"/>
  <c r="G287" i="20" s="1"/>
  <c r="G288" i="20" s="1"/>
  <c r="G289" i="20" s="1"/>
  <c r="G290" i="20" s="1"/>
  <c r="G291" i="20" s="1"/>
  <c r="G292" i="20" s="1"/>
  <c r="G293" i="20" s="1"/>
  <c r="G294" i="20" s="1"/>
  <c r="G295" i="20" s="1"/>
  <c r="G278" i="20"/>
  <c r="F278" i="20"/>
  <c r="G277" i="20"/>
  <c r="F277" i="20"/>
  <c r="F258" i="20"/>
  <c r="F257" i="20"/>
  <c r="F256" i="20"/>
  <c r="F255" i="20"/>
  <c r="F254" i="20"/>
  <c r="F253" i="20"/>
  <c r="F252" i="20"/>
  <c r="F251" i="20"/>
  <c r="F250" i="20"/>
  <c r="F249" i="20"/>
  <c r="F248" i="20"/>
  <c r="F247" i="20"/>
  <c r="F246" i="20"/>
  <c r="F245" i="20"/>
  <c r="F244" i="20"/>
  <c r="F243" i="20"/>
  <c r="G242" i="20"/>
  <c r="G243" i="20" s="1"/>
  <c r="G244" i="20" s="1"/>
  <c r="G245" i="20" s="1"/>
  <c r="G246" i="20" s="1"/>
  <c r="G247" i="20" s="1"/>
  <c r="G248" i="20" s="1"/>
  <c r="G249" i="20" s="1"/>
  <c r="G250" i="20" s="1"/>
  <c r="G251" i="20" s="1"/>
  <c r="G252" i="20" s="1"/>
  <c r="G253" i="20" s="1"/>
  <c r="G254" i="20" s="1"/>
  <c r="G255" i="20" s="1"/>
  <c r="G256" i="20" s="1"/>
  <c r="G257" i="20" s="1"/>
  <c r="G258" i="20" s="1"/>
  <c r="F242" i="20"/>
  <c r="F241" i="20"/>
  <c r="F240" i="20"/>
  <c r="G240" i="20" s="1"/>
  <c r="G241" i="20" s="1"/>
  <c r="F221" i="20"/>
  <c r="F220" i="20"/>
  <c r="F219" i="20"/>
  <c r="F218" i="20"/>
  <c r="F217" i="20"/>
  <c r="F216" i="20"/>
  <c r="F215" i="20"/>
  <c r="F214" i="20"/>
  <c r="F213" i="20"/>
  <c r="F212" i="20"/>
  <c r="F211" i="20"/>
  <c r="F210" i="20"/>
  <c r="F209" i="20"/>
  <c r="F208" i="20"/>
  <c r="F207" i="20"/>
  <c r="F206" i="20"/>
  <c r="F205" i="20"/>
  <c r="F204" i="20"/>
  <c r="F203" i="20"/>
  <c r="F202" i="20"/>
  <c r="F201" i="20"/>
  <c r="G200" i="20"/>
  <c r="G201" i="20" s="1"/>
  <c r="G202" i="20" s="1"/>
  <c r="G203" i="20" s="1"/>
  <c r="G204" i="20" s="1"/>
  <c r="G205" i="20" s="1"/>
  <c r="G206" i="20" s="1"/>
  <c r="G207" i="20" s="1"/>
  <c r="G208" i="20" s="1"/>
  <c r="G209" i="20" s="1"/>
  <c r="G210" i="20" s="1"/>
  <c r="G211" i="20" s="1"/>
  <c r="G212" i="20" s="1"/>
  <c r="G213" i="20" s="1"/>
  <c r="G214" i="20" s="1"/>
  <c r="G215" i="20" s="1"/>
  <c r="G216" i="20" s="1"/>
  <c r="G217" i="20" s="1"/>
  <c r="G218" i="20" s="1"/>
  <c r="G219" i="20" s="1"/>
  <c r="G220" i="20" s="1"/>
  <c r="G221" i="20" s="1"/>
  <c r="F200" i="20"/>
  <c r="G199" i="20"/>
  <c r="F199" i="20"/>
  <c r="F184" i="20"/>
  <c r="F183" i="20"/>
  <c r="F182" i="20"/>
  <c r="F181" i="20"/>
  <c r="F180" i="20"/>
  <c r="F179" i="20"/>
  <c r="F178" i="20"/>
  <c r="F177" i="20"/>
  <c r="F176" i="20"/>
  <c r="F175" i="20"/>
  <c r="F174" i="20"/>
  <c r="F173" i="20"/>
  <c r="F172" i="20"/>
  <c r="F171" i="20"/>
  <c r="F170" i="20"/>
  <c r="F169" i="20"/>
  <c r="F168" i="20"/>
  <c r="F167" i="20"/>
  <c r="F166" i="20"/>
  <c r="F165" i="20"/>
  <c r="F164" i="20"/>
  <c r="F163" i="20"/>
  <c r="G162" i="20"/>
  <c r="G163" i="20" s="1"/>
  <c r="G164" i="20" s="1"/>
  <c r="G165" i="20" s="1"/>
  <c r="G166" i="20" s="1"/>
  <c r="G167" i="20" s="1"/>
  <c r="G168" i="20" s="1"/>
  <c r="G169" i="20" s="1"/>
  <c r="G170" i="20" s="1"/>
  <c r="G171" i="20" s="1"/>
  <c r="G172" i="20" s="1"/>
  <c r="G173" i="20" s="1"/>
  <c r="G174" i="20" s="1"/>
  <c r="G175" i="20" s="1"/>
  <c r="G176" i="20" s="1"/>
  <c r="G177" i="20" s="1"/>
  <c r="G178" i="20" s="1"/>
  <c r="G179" i="20" s="1"/>
  <c r="G180" i="20" s="1"/>
  <c r="G181" i="20" s="1"/>
  <c r="G182" i="20" s="1"/>
  <c r="G183" i="20" s="1"/>
  <c r="G184" i="20" s="1"/>
  <c r="F162" i="20"/>
  <c r="F145" i="20"/>
  <c r="F144" i="20"/>
  <c r="F143" i="20"/>
  <c r="F142" i="20"/>
  <c r="F141" i="20"/>
  <c r="F140" i="20"/>
  <c r="F139" i="20"/>
  <c r="F138" i="20"/>
  <c r="F137" i="20"/>
  <c r="F136" i="20"/>
  <c r="F135" i="20"/>
  <c r="F134" i="20"/>
  <c r="F133" i="20"/>
  <c r="F132" i="20"/>
  <c r="F131" i="20"/>
  <c r="F130" i="20"/>
  <c r="F129" i="20"/>
  <c r="F128" i="20"/>
  <c r="F127" i="20"/>
  <c r="F125" i="20"/>
  <c r="F124" i="20"/>
  <c r="F123" i="20"/>
  <c r="G123" i="20" s="1"/>
  <c r="G124" i="20" s="1"/>
  <c r="G125" i="20" s="1"/>
  <c r="G126" i="20" s="1"/>
  <c r="G127" i="20" s="1"/>
  <c r="G128" i="20" s="1"/>
  <c r="G129" i="20" s="1"/>
  <c r="G130" i="20" s="1"/>
  <c r="G131" i="20" s="1"/>
  <c r="G132" i="20" s="1"/>
  <c r="G133" i="20" s="1"/>
  <c r="G134" i="20" s="1"/>
  <c r="G135" i="20" s="1"/>
  <c r="G136" i="20" s="1"/>
  <c r="G137" i="20" s="1"/>
  <c r="G138" i="20" s="1"/>
  <c r="G139" i="20" s="1"/>
  <c r="G140" i="20" s="1"/>
  <c r="G141" i="20" s="1"/>
  <c r="G142" i="20" s="1"/>
  <c r="G143" i="20" s="1"/>
  <c r="G144" i="20" s="1"/>
  <c r="G145" i="20" s="1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G91" i="20"/>
  <c r="G92" i="20" s="1"/>
  <c r="G93" i="20" s="1"/>
  <c r="G94" i="20" s="1"/>
  <c r="G95" i="20" s="1"/>
  <c r="G96" i="20" s="1"/>
  <c r="G97" i="20" s="1"/>
  <c r="G98" i="20" s="1"/>
  <c r="G99" i="20" s="1"/>
  <c r="G100" i="20" s="1"/>
  <c r="G101" i="20" s="1"/>
  <c r="G102" i="20" s="1"/>
  <c r="G103" i="20" s="1"/>
  <c r="G104" i="20" s="1"/>
  <c r="G105" i="20" s="1"/>
  <c r="G106" i="20" s="1"/>
  <c r="G107" i="20" s="1"/>
  <c r="G108" i="20" s="1"/>
  <c r="F91" i="20"/>
  <c r="G90" i="20"/>
  <c r="F90" i="20"/>
  <c r="G87" i="20"/>
  <c r="G88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G49" i="20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G15" i="20"/>
  <c r="G16" i="20" s="1"/>
  <c r="G17" i="20" s="1"/>
  <c r="G18" i="20" s="1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F15" i="20"/>
  <c r="F128" i="12"/>
  <c r="F91" i="12"/>
  <c r="F54" i="12"/>
  <c r="F17" i="12"/>
  <c r="F128" i="9"/>
  <c r="F91" i="9"/>
  <c r="F54" i="9"/>
  <c r="F17" i="9"/>
  <c r="F128" i="7"/>
  <c r="F92" i="7"/>
  <c r="F91" i="7"/>
  <c r="F54" i="7"/>
  <c r="F17" i="7"/>
  <c r="F128" i="10"/>
  <c r="F91" i="10"/>
  <c r="F54" i="10"/>
  <c r="F17" i="10"/>
  <c r="F128" i="5"/>
  <c r="F91" i="5"/>
  <c r="F54" i="5"/>
  <c r="F17" i="5"/>
  <c r="F128" i="11"/>
  <c r="F91" i="11"/>
  <c r="F54" i="11"/>
  <c r="F17" i="11"/>
  <c r="F128" i="4"/>
  <c r="F91" i="4"/>
  <c r="F54" i="4"/>
  <c r="F17" i="4"/>
  <c r="F128" i="1"/>
  <c r="F91" i="1"/>
  <c r="F54" i="1"/>
  <c r="F17" i="1"/>
  <c r="G130" i="12" l="1"/>
  <c r="H130" i="12" s="1"/>
  <c r="H129" i="12"/>
  <c r="G93" i="12"/>
  <c r="H93" i="12" s="1"/>
  <c r="H92" i="12"/>
  <c r="G56" i="12"/>
  <c r="H56" i="12" s="1"/>
  <c r="H55" i="12"/>
  <c r="H129" i="9"/>
  <c r="G130" i="9"/>
  <c r="H130" i="9" s="1"/>
  <c r="H92" i="9"/>
  <c r="G93" i="9"/>
  <c r="H93" i="9" s="1"/>
  <c r="G56" i="9"/>
  <c r="H56" i="9" s="1"/>
  <c r="H55" i="9"/>
  <c r="G130" i="7"/>
  <c r="H130" i="7" s="1"/>
  <c r="H129" i="7"/>
  <c r="G130" i="10"/>
  <c r="H130" i="10" s="1"/>
  <c r="H129" i="10"/>
  <c r="G93" i="10"/>
  <c r="H93" i="10" s="1"/>
  <c r="H92" i="10"/>
  <c r="G56" i="10"/>
  <c r="H56" i="10" s="1"/>
  <c r="H55" i="10"/>
  <c r="G130" i="5"/>
  <c r="H130" i="5" s="1"/>
  <c r="H129" i="5"/>
  <c r="G93" i="5"/>
  <c r="H93" i="5" s="1"/>
  <c r="H92" i="5"/>
  <c r="G56" i="5"/>
  <c r="H56" i="5" s="1"/>
  <c r="H55" i="5"/>
  <c r="G130" i="11"/>
  <c r="H130" i="11" s="1"/>
  <c r="H129" i="11"/>
  <c r="G93" i="11"/>
  <c r="G130" i="4"/>
  <c r="H130" i="4" s="1"/>
  <c r="H129" i="4"/>
  <c r="H92" i="4"/>
  <c r="G93" i="4"/>
  <c r="H93" i="4" s="1"/>
  <c r="G56" i="4"/>
  <c r="H56" i="4" s="1"/>
  <c r="H55" i="4"/>
  <c r="G541" i="20"/>
  <c r="G542" i="20" s="1"/>
  <c r="G543" i="20" s="1"/>
  <c r="G544" i="20" s="1"/>
  <c r="G545" i="20" s="1"/>
  <c r="G546" i="20" s="1"/>
  <c r="G547" i="20" s="1"/>
  <c r="G548" i="20" s="1"/>
  <c r="G549" i="20" s="1"/>
  <c r="G550" i="20" s="1"/>
  <c r="G551" i="20" s="1"/>
  <c r="G552" i="20" s="1"/>
  <c r="G553" i="20" s="1"/>
  <c r="G554" i="20" s="1"/>
  <c r="G555" i="20" s="1"/>
  <c r="G556" i="20" s="1"/>
  <c r="G557" i="20" s="1"/>
  <c r="G558" i="20" s="1"/>
  <c r="G559" i="20" s="1"/>
  <c r="G503" i="20"/>
  <c r="G654" i="20"/>
  <c r="G655" i="20" s="1"/>
  <c r="G656" i="20" s="1"/>
  <c r="G657" i="20" s="1"/>
  <c r="G658" i="20" s="1"/>
  <c r="G659" i="20" s="1"/>
  <c r="G660" i="20" s="1"/>
  <c r="G661" i="20" s="1"/>
  <c r="G662" i="20" s="1"/>
  <c r="G663" i="20" s="1"/>
  <c r="G664" i="20" s="1"/>
  <c r="G665" i="20" s="1"/>
  <c r="G666" i="20" s="1"/>
  <c r="G667" i="20" s="1"/>
  <c r="G668" i="20" s="1"/>
  <c r="G669" i="20" s="1"/>
  <c r="G670" i="20" s="1"/>
  <c r="G671" i="20" s="1"/>
  <c r="G672" i="20" s="1"/>
  <c r="G673" i="20" s="1"/>
  <c r="G504" i="20"/>
  <c r="G505" i="20" s="1"/>
  <c r="G506" i="20" s="1"/>
  <c r="G507" i="20" s="1"/>
  <c r="G508" i="20" s="1"/>
  <c r="G509" i="20" s="1"/>
  <c r="G510" i="20" s="1"/>
  <c r="G511" i="20" s="1"/>
  <c r="G512" i="20" s="1"/>
  <c r="G513" i="20" s="1"/>
  <c r="G514" i="20" s="1"/>
  <c r="G515" i="20" s="1"/>
  <c r="G516" i="20" s="1"/>
  <c r="G517" i="20" s="1"/>
  <c r="G518" i="20" s="1"/>
  <c r="G519" i="20" s="1"/>
  <c r="G520" i="20" s="1"/>
  <c r="G521" i="20" s="1"/>
  <c r="G522" i="20" s="1"/>
  <c r="F127" i="12" l="1"/>
  <c r="F90" i="12"/>
  <c r="F53" i="12"/>
  <c r="F16" i="12"/>
  <c r="F127" i="9"/>
  <c r="F90" i="9"/>
  <c r="F53" i="9"/>
  <c r="F16" i="9"/>
  <c r="F127" i="7"/>
  <c r="F90" i="7"/>
  <c r="F53" i="7"/>
  <c r="F16" i="7"/>
  <c r="F127" i="10"/>
  <c r="F90" i="10"/>
  <c r="F53" i="10"/>
  <c r="F16" i="10"/>
  <c r="F127" i="5"/>
  <c r="F90" i="5"/>
  <c r="F53" i="5"/>
  <c r="F16" i="5"/>
  <c r="F127" i="11"/>
  <c r="F90" i="11"/>
  <c r="F53" i="11"/>
  <c r="F127" i="4"/>
  <c r="F90" i="4"/>
  <c r="F53" i="4"/>
  <c r="F16" i="4"/>
  <c r="I127" i="1"/>
  <c r="F127" i="1"/>
  <c r="I90" i="1"/>
  <c r="F90" i="1"/>
  <c r="I53" i="1"/>
  <c r="F53" i="1"/>
  <c r="I16" i="1"/>
  <c r="F16" i="1"/>
  <c r="F126" i="12" l="1"/>
  <c r="F89" i="12"/>
  <c r="F52" i="12"/>
  <c r="F15" i="12"/>
  <c r="F126" i="9"/>
  <c r="F89" i="9"/>
  <c r="F52" i="9"/>
  <c r="F15" i="9"/>
  <c r="F126" i="7"/>
  <c r="F89" i="7"/>
  <c r="F52" i="7"/>
  <c r="F15" i="7"/>
  <c r="F126" i="10"/>
  <c r="F89" i="10"/>
  <c r="F52" i="10"/>
  <c r="F15" i="10"/>
  <c r="F126" i="5"/>
  <c r="F89" i="5"/>
  <c r="F52" i="5"/>
  <c r="F15" i="5"/>
  <c r="F126" i="11"/>
  <c r="F89" i="11"/>
  <c r="F52" i="11"/>
  <c r="F15" i="11"/>
  <c r="F14" i="11"/>
  <c r="F126" i="4"/>
  <c r="F89" i="4"/>
  <c r="F52" i="4"/>
  <c r="I15" i="4"/>
  <c r="I16" i="4" s="1"/>
  <c r="I17" i="4" s="1"/>
  <c r="F15" i="4"/>
  <c r="F126" i="1"/>
  <c r="F89" i="1"/>
  <c r="F52" i="1"/>
  <c r="F15" i="1"/>
  <c r="L125" i="1" l="1"/>
  <c r="L88" i="1"/>
  <c r="L51" i="1"/>
  <c r="L14" i="1"/>
  <c r="I125" i="12" l="1"/>
  <c r="I126" i="12" s="1"/>
  <c r="I127" i="12" s="1"/>
  <c r="I128" i="12" s="1"/>
  <c r="F125" i="12"/>
  <c r="I88" i="12"/>
  <c r="I89" i="12" s="1"/>
  <c r="I90" i="12" s="1"/>
  <c r="I91" i="12" s="1"/>
  <c r="F88" i="12"/>
  <c r="I51" i="12"/>
  <c r="I52" i="12" s="1"/>
  <c r="I53" i="12" s="1"/>
  <c r="I54" i="12" s="1"/>
  <c r="F51" i="12"/>
  <c r="I14" i="12"/>
  <c r="I15" i="12" s="1"/>
  <c r="I16" i="12" s="1"/>
  <c r="I17" i="12" s="1"/>
  <c r="F14" i="12"/>
  <c r="F125" i="9"/>
  <c r="I88" i="9"/>
  <c r="I89" i="9" s="1"/>
  <c r="I90" i="9" s="1"/>
  <c r="I91" i="9" s="1"/>
  <c r="F88" i="9"/>
  <c r="F51" i="9"/>
  <c r="I14" i="9"/>
  <c r="I15" i="9" s="1"/>
  <c r="I16" i="9" s="1"/>
  <c r="I17" i="9" s="1"/>
  <c r="F14" i="9"/>
  <c r="I125" i="7"/>
  <c r="I126" i="7" s="1"/>
  <c r="I127" i="7" s="1"/>
  <c r="I128" i="7" s="1"/>
  <c r="F125" i="7"/>
  <c r="F88" i="7"/>
  <c r="I51" i="7"/>
  <c r="I52" i="7" s="1"/>
  <c r="I53" i="7" s="1"/>
  <c r="I54" i="7" s="1"/>
  <c r="F51" i="7"/>
  <c r="I14" i="7"/>
  <c r="I15" i="7" s="1"/>
  <c r="I16" i="7" s="1"/>
  <c r="I17" i="7" s="1"/>
  <c r="F14" i="7"/>
  <c r="I125" i="10"/>
  <c r="I126" i="10" s="1"/>
  <c r="I127" i="10" s="1"/>
  <c r="I128" i="10" s="1"/>
  <c r="F125" i="10"/>
  <c r="F88" i="10"/>
  <c r="I51" i="10"/>
  <c r="I52" i="10" s="1"/>
  <c r="I53" i="10" s="1"/>
  <c r="I54" i="10" s="1"/>
  <c r="F51" i="10"/>
  <c r="I14" i="10"/>
  <c r="I15" i="10" s="1"/>
  <c r="I16" i="10" s="1"/>
  <c r="I17" i="10" s="1"/>
  <c r="F14" i="10"/>
  <c r="I125" i="5"/>
  <c r="I126" i="5" s="1"/>
  <c r="I127" i="5" s="1"/>
  <c r="I128" i="5" s="1"/>
  <c r="F125" i="5"/>
  <c r="F88" i="5"/>
  <c r="F51" i="5"/>
  <c r="I14" i="5"/>
  <c r="I15" i="5" s="1"/>
  <c r="I16" i="5" s="1"/>
  <c r="I17" i="5" s="1"/>
  <c r="F14" i="5"/>
  <c r="I125" i="11"/>
  <c r="I126" i="11" s="1"/>
  <c r="I127" i="11" s="1"/>
  <c r="I128" i="11" s="1"/>
  <c r="F125" i="11"/>
  <c r="I88" i="11"/>
  <c r="I89" i="11" s="1"/>
  <c r="I90" i="11" s="1"/>
  <c r="I91" i="11" s="1"/>
  <c r="F88" i="11"/>
  <c r="I51" i="11"/>
  <c r="I52" i="11" s="1"/>
  <c r="I53" i="11" s="1"/>
  <c r="I54" i="11" s="1"/>
  <c r="F51" i="11"/>
  <c r="I14" i="11"/>
  <c r="I15" i="11" s="1"/>
  <c r="I16" i="11" s="1"/>
  <c r="I17" i="11" s="1"/>
  <c r="I125" i="4"/>
  <c r="I126" i="4" s="1"/>
  <c r="I127" i="4" s="1"/>
  <c r="I128" i="4" s="1"/>
  <c r="F125" i="4"/>
  <c r="I88" i="4"/>
  <c r="I89" i="4" s="1"/>
  <c r="I90" i="4" s="1"/>
  <c r="I91" i="4" s="1"/>
  <c r="F88" i="4"/>
  <c r="I51" i="4"/>
  <c r="I52" i="4" s="1"/>
  <c r="I53" i="4" s="1"/>
  <c r="I54" i="4" s="1"/>
  <c r="F51" i="4"/>
  <c r="F14" i="4"/>
  <c r="F125" i="1"/>
  <c r="F88" i="1"/>
  <c r="F51" i="1"/>
  <c r="F14" i="1"/>
  <c r="F124" i="12" l="1"/>
  <c r="F87" i="12"/>
  <c r="F50" i="12"/>
  <c r="F13" i="12"/>
  <c r="F124" i="9"/>
  <c r="G124" i="9" s="1"/>
  <c r="G125" i="9" s="1"/>
  <c r="G126" i="9" s="1"/>
  <c r="G127" i="9" s="1"/>
  <c r="G128" i="9" s="1"/>
  <c r="F87" i="9"/>
  <c r="F50" i="9"/>
  <c r="F13" i="9"/>
  <c r="F124" i="7"/>
  <c r="F87" i="7"/>
  <c r="F50" i="7"/>
  <c r="F13" i="7"/>
  <c r="F124" i="10"/>
  <c r="F87" i="10"/>
  <c r="F50" i="10"/>
  <c r="F13" i="10"/>
  <c r="F124" i="5"/>
  <c r="F87" i="5"/>
  <c r="F50" i="5"/>
  <c r="F124" i="11"/>
  <c r="F87" i="11"/>
  <c r="F50" i="11"/>
  <c r="F13" i="11"/>
  <c r="F13" i="5"/>
  <c r="F124" i="4"/>
  <c r="F87" i="4"/>
  <c r="F50" i="4"/>
  <c r="F13" i="4"/>
  <c r="H128" i="9" l="1"/>
  <c r="H127" i="9"/>
  <c r="H126" i="9"/>
  <c r="H125" i="9"/>
  <c r="H124" i="9"/>
  <c r="L87" i="1" l="1"/>
  <c r="F87" i="1"/>
  <c r="F50" i="1"/>
  <c r="L13" i="1"/>
  <c r="F13" i="1"/>
  <c r="I48" i="5"/>
  <c r="I49" i="5" s="1"/>
  <c r="I50" i="5" s="1"/>
  <c r="I51" i="5" s="1"/>
  <c r="I52" i="5" s="1"/>
  <c r="I53" i="5" s="1"/>
  <c r="I54" i="5" s="1"/>
  <c r="E123" i="1"/>
  <c r="E86" i="1"/>
  <c r="E49" i="1"/>
  <c r="E12" i="1"/>
  <c r="L124" i="1"/>
  <c r="F124" i="1"/>
  <c r="I85" i="11"/>
  <c r="I86" i="11" s="1"/>
  <c r="I47" i="10"/>
  <c r="I48" i="10" s="1"/>
  <c r="I49" i="10" s="1"/>
  <c r="I122" i="10"/>
  <c r="I123" i="10" s="1"/>
  <c r="I122" i="5"/>
  <c r="I123" i="5" s="1"/>
  <c r="I10" i="5"/>
  <c r="I11" i="5" s="1"/>
  <c r="I12" i="5" s="1"/>
  <c r="I122" i="12"/>
  <c r="I123" i="12" s="1"/>
  <c r="I85" i="12"/>
  <c r="I86" i="12" s="1"/>
  <c r="I47" i="12"/>
  <c r="I48" i="12" s="1"/>
  <c r="I49" i="12" s="1"/>
  <c r="I10" i="12"/>
  <c r="I11" i="12" s="1"/>
  <c r="I12" i="12" s="1"/>
  <c r="I85" i="9"/>
  <c r="I86" i="9" s="1"/>
  <c r="I11" i="9"/>
  <c r="I12" i="9" s="1"/>
  <c r="I122" i="7"/>
  <c r="I123" i="7" s="1"/>
  <c r="I47" i="7"/>
  <c r="I48" i="7" s="1"/>
  <c r="I49" i="7" s="1"/>
  <c r="I10" i="7"/>
  <c r="I11" i="7" s="1"/>
  <c r="I12" i="7" s="1"/>
  <c r="I10" i="10"/>
  <c r="I11" i="10" s="1"/>
  <c r="I12" i="10" s="1"/>
  <c r="I122" i="11"/>
  <c r="I123" i="11" s="1"/>
  <c r="I47" i="11"/>
  <c r="I48" i="11" s="1"/>
  <c r="I49" i="11" s="1"/>
  <c r="I10" i="11"/>
  <c r="I11" i="11" s="1"/>
  <c r="I12" i="11" s="1"/>
  <c r="I122" i="4"/>
  <c r="I123" i="4" s="1"/>
  <c r="I85" i="4"/>
  <c r="I86" i="4" s="1"/>
  <c r="I47" i="4"/>
  <c r="I48" i="4" s="1"/>
  <c r="I49" i="4" s="1"/>
  <c r="I10" i="4"/>
  <c r="I11" i="4" s="1"/>
  <c r="I12" i="4" s="1"/>
  <c r="D48" i="5" l="1"/>
  <c r="D11" i="4"/>
  <c r="D48" i="4"/>
  <c r="E48" i="4"/>
  <c r="E11" i="4" s="1"/>
  <c r="F11" i="4" s="1"/>
  <c r="F49" i="4"/>
  <c r="F48" i="4" l="1"/>
  <c r="H123" i="9"/>
  <c r="L123" i="1"/>
  <c r="L122" i="1"/>
  <c r="L121" i="1"/>
  <c r="L120" i="1"/>
  <c r="I121" i="1"/>
  <c r="I122" i="1" s="1"/>
  <c r="I123" i="1" s="1"/>
  <c r="L86" i="1"/>
  <c r="L85" i="1"/>
  <c r="L84" i="1"/>
  <c r="L83" i="1"/>
  <c r="I85" i="1"/>
  <c r="I86" i="1" s="1"/>
  <c r="L47" i="1"/>
  <c r="L46" i="1"/>
  <c r="I47" i="1"/>
  <c r="I48" i="1" s="1"/>
  <c r="I49" i="1" s="1"/>
  <c r="L12" i="1"/>
  <c r="F85" i="1"/>
  <c r="F83" i="1"/>
  <c r="G83" i="1" s="1"/>
  <c r="F48" i="1"/>
  <c r="F47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23" i="1"/>
  <c r="F122" i="1"/>
  <c r="F121" i="1"/>
  <c r="F120" i="1"/>
  <c r="G120" i="1" s="1"/>
  <c r="F105" i="1"/>
  <c r="F104" i="1"/>
  <c r="F103" i="1"/>
  <c r="F102" i="1"/>
  <c r="F101" i="1"/>
  <c r="F100" i="1"/>
  <c r="F99" i="1"/>
  <c r="F98" i="1"/>
  <c r="F97" i="1"/>
  <c r="F96" i="1"/>
  <c r="F95" i="1"/>
  <c r="F94" i="1"/>
  <c r="F86" i="1"/>
  <c r="F84" i="1"/>
  <c r="F68" i="1"/>
  <c r="F67" i="1"/>
  <c r="F66" i="1"/>
  <c r="F65" i="1"/>
  <c r="F64" i="1"/>
  <c r="F63" i="1"/>
  <c r="F62" i="1"/>
  <c r="F61" i="1"/>
  <c r="F60" i="1"/>
  <c r="F59" i="1"/>
  <c r="F58" i="1"/>
  <c r="F57" i="1"/>
  <c r="F49" i="1"/>
  <c r="F46" i="1"/>
  <c r="G46" i="1" s="1"/>
  <c r="F11" i="12"/>
  <c r="F10" i="12"/>
  <c r="F9" i="9"/>
  <c r="G9" i="9" s="1"/>
  <c r="H9" i="9" s="1"/>
  <c r="F11" i="11"/>
  <c r="F10" i="11"/>
  <c r="F11" i="10"/>
  <c r="F10" i="10"/>
  <c r="F9" i="10"/>
  <c r="G9" i="10" s="1"/>
  <c r="F11" i="5"/>
  <c r="F10" i="5"/>
  <c r="F9" i="5"/>
  <c r="G9" i="5" s="1"/>
  <c r="F11" i="7"/>
  <c r="F10" i="7"/>
  <c r="F9" i="7"/>
  <c r="G9" i="7" s="1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23" i="12"/>
  <c r="F122" i="12"/>
  <c r="F121" i="12"/>
  <c r="F120" i="12"/>
  <c r="G120" i="12" s="1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86" i="12"/>
  <c r="F85" i="12"/>
  <c r="F84" i="12"/>
  <c r="F83" i="12"/>
  <c r="G83" i="12" s="1"/>
  <c r="H83" i="12" s="1"/>
  <c r="F68" i="12"/>
  <c r="F67" i="12"/>
  <c r="F66" i="12"/>
  <c r="F65" i="12"/>
  <c r="F64" i="12"/>
  <c r="F63" i="12"/>
  <c r="F62" i="12"/>
  <c r="F61" i="12"/>
  <c r="F60" i="12"/>
  <c r="F59" i="12"/>
  <c r="F58" i="12"/>
  <c r="F57" i="12"/>
  <c r="F49" i="12"/>
  <c r="F48" i="12"/>
  <c r="F47" i="12"/>
  <c r="F46" i="12"/>
  <c r="G46" i="12" s="1"/>
  <c r="F31" i="12"/>
  <c r="F30" i="12"/>
  <c r="F29" i="12"/>
  <c r="F28" i="12"/>
  <c r="F27" i="12"/>
  <c r="F26" i="12"/>
  <c r="F25" i="12"/>
  <c r="F24" i="12"/>
  <c r="F23" i="12"/>
  <c r="F22" i="12"/>
  <c r="F21" i="12"/>
  <c r="F20" i="12"/>
  <c r="F12" i="12"/>
  <c r="F9" i="12"/>
  <c r="G9" i="12" s="1"/>
  <c r="H9" i="12" s="1"/>
  <c r="F142" i="9"/>
  <c r="F141" i="9"/>
  <c r="F140" i="9"/>
  <c r="F139" i="9"/>
  <c r="F138" i="9"/>
  <c r="F137" i="9"/>
  <c r="F136" i="9"/>
  <c r="F135" i="9"/>
  <c r="F134" i="9"/>
  <c r="F133" i="9"/>
  <c r="F132" i="9"/>
  <c r="F131" i="9"/>
  <c r="F123" i="9"/>
  <c r="F122" i="9"/>
  <c r="F121" i="9"/>
  <c r="F120" i="9"/>
  <c r="G120" i="9" s="1"/>
  <c r="F105" i="9"/>
  <c r="F104" i="9"/>
  <c r="F103" i="9"/>
  <c r="F102" i="9"/>
  <c r="F101" i="9"/>
  <c r="F100" i="9"/>
  <c r="F99" i="9"/>
  <c r="F98" i="9"/>
  <c r="F97" i="9"/>
  <c r="F96" i="9"/>
  <c r="F95" i="9"/>
  <c r="F94" i="9"/>
  <c r="F86" i="9"/>
  <c r="F85" i="9"/>
  <c r="F84" i="9"/>
  <c r="F83" i="9"/>
  <c r="G83" i="9" s="1"/>
  <c r="F68" i="9"/>
  <c r="F67" i="9"/>
  <c r="F66" i="9"/>
  <c r="F65" i="9"/>
  <c r="F64" i="9"/>
  <c r="F63" i="9"/>
  <c r="F62" i="9"/>
  <c r="F61" i="9"/>
  <c r="F60" i="9"/>
  <c r="F59" i="9"/>
  <c r="F58" i="9"/>
  <c r="F57" i="9"/>
  <c r="F49" i="9"/>
  <c r="F48" i="9"/>
  <c r="F47" i="9"/>
  <c r="F46" i="9"/>
  <c r="G46" i="9" s="1"/>
  <c r="H46" i="9" s="1"/>
  <c r="F31" i="9"/>
  <c r="F30" i="9"/>
  <c r="F29" i="9"/>
  <c r="F28" i="9"/>
  <c r="F27" i="9"/>
  <c r="F26" i="9"/>
  <c r="F25" i="9"/>
  <c r="F24" i="9"/>
  <c r="F23" i="9"/>
  <c r="F22" i="9"/>
  <c r="F21" i="9"/>
  <c r="F20" i="9"/>
  <c r="F12" i="9"/>
  <c r="F11" i="9"/>
  <c r="F10" i="9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23" i="11"/>
  <c r="F122" i="11"/>
  <c r="F121" i="11"/>
  <c r="F120" i="11"/>
  <c r="G120" i="11" s="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86" i="11"/>
  <c r="F85" i="11"/>
  <c r="F84" i="11"/>
  <c r="F83" i="11"/>
  <c r="G83" i="11" s="1"/>
  <c r="F68" i="11"/>
  <c r="F67" i="11"/>
  <c r="F66" i="11"/>
  <c r="F65" i="11"/>
  <c r="F64" i="11"/>
  <c r="F63" i="11"/>
  <c r="F62" i="11"/>
  <c r="F61" i="11"/>
  <c r="F60" i="11"/>
  <c r="F59" i="11"/>
  <c r="F58" i="11"/>
  <c r="F57" i="11"/>
  <c r="F49" i="11"/>
  <c r="F48" i="11"/>
  <c r="F47" i="11"/>
  <c r="F46" i="11"/>
  <c r="G46" i="11" s="1"/>
  <c r="F31" i="11"/>
  <c r="F30" i="11"/>
  <c r="F29" i="11"/>
  <c r="F28" i="11"/>
  <c r="F27" i="11"/>
  <c r="F26" i="11"/>
  <c r="F25" i="11"/>
  <c r="F24" i="11"/>
  <c r="F23" i="11"/>
  <c r="F22" i="11"/>
  <c r="F21" i="11"/>
  <c r="F20" i="11"/>
  <c r="F12" i="11"/>
  <c r="F9" i="11"/>
  <c r="G9" i="11" s="1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23" i="10"/>
  <c r="F122" i="10"/>
  <c r="F121" i="10"/>
  <c r="F120" i="10"/>
  <c r="G120" i="10" s="1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86" i="10"/>
  <c r="F85" i="10"/>
  <c r="F84" i="10"/>
  <c r="F83" i="10"/>
  <c r="G83" i="10" s="1"/>
  <c r="H83" i="10" s="1"/>
  <c r="F68" i="10"/>
  <c r="F67" i="10"/>
  <c r="F66" i="10"/>
  <c r="F65" i="10"/>
  <c r="F64" i="10"/>
  <c r="F63" i="10"/>
  <c r="F62" i="10"/>
  <c r="F61" i="10"/>
  <c r="F60" i="10"/>
  <c r="F59" i="10"/>
  <c r="F58" i="10"/>
  <c r="F57" i="10"/>
  <c r="F49" i="10"/>
  <c r="F48" i="10"/>
  <c r="F47" i="10"/>
  <c r="F46" i="10"/>
  <c r="G46" i="10" s="1"/>
  <c r="F31" i="10"/>
  <c r="F30" i="10"/>
  <c r="F29" i="10"/>
  <c r="F28" i="10"/>
  <c r="F27" i="10"/>
  <c r="F26" i="10"/>
  <c r="F25" i="10"/>
  <c r="F24" i="10"/>
  <c r="F23" i="10"/>
  <c r="F22" i="10"/>
  <c r="F21" i="10"/>
  <c r="F20" i="10"/>
  <c r="F12" i="10"/>
  <c r="F142" i="5"/>
  <c r="F141" i="5"/>
  <c r="F140" i="5"/>
  <c r="F139" i="5"/>
  <c r="F138" i="5"/>
  <c r="F137" i="5"/>
  <c r="F136" i="5"/>
  <c r="F135" i="5"/>
  <c r="F134" i="5"/>
  <c r="F133" i="5"/>
  <c r="F132" i="5"/>
  <c r="F131" i="5"/>
  <c r="F123" i="5"/>
  <c r="F122" i="5"/>
  <c r="F121" i="5"/>
  <c r="F120" i="5"/>
  <c r="G120" i="5" s="1"/>
  <c r="F105" i="5"/>
  <c r="F104" i="5"/>
  <c r="F103" i="5"/>
  <c r="F102" i="5"/>
  <c r="F101" i="5"/>
  <c r="F100" i="5"/>
  <c r="F99" i="5"/>
  <c r="F98" i="5"/>
  <c r="F97" i="5"/>
  <c r="F96" i="5"/>
  <c r="F95" i="5"/>
  <c r="F94" i="5"/>
  <c r="F86" i="5"/>
  <c r="F85" i="5"/>
  <c r="F84" i="5"/>
  <c r="F83" i="5"/>
  <c r="G83" i="5" s="1"/>
  <c r="F68" i="5"/>
  <c r="F67" i="5"/>
  <c r="F66" i="5"/>
  <c r="F65" i="5"/>
  <c r="F64" i="5"/>
  <c r="F63" i="5"/>
  <c r="F62" i="5"/>
  <c r="F61" i="5"/>
  <c r="F60" i="5"/>
  <c r="F59" i="5"/>
  <c r="F58" i="5"/>
  <c r="F57" i="5"/>
  <c r="F49" i="5"/>
  <c r="F48" i="5"/>
  <c r="F47" i="5"/>
  <c r="F46" i="5"/>
  <c r="G46" i="5" s="1"/>
  <c r="F31" i="5"/>
  <c r="F30" i="5"/>
  <c r="F29" i="5"/>
  <c r="F28" i="5"/>
  <c r="F27" i="5"/>
  <c r="F26" i="5"/>
  <c r="F25" i="5"/>
  <c r="F24" i="5"/>
  <c r="F23" i="5"/>
  <c r="F22" i="5"/>
  <c r="F21" i="5"/>
  <c r="F20" i="5"/>
  <c r="F12" i="5"/>
  <c r="F142" i="7"/>
  <c r="F141" i="7"/>
  <c r="F140" i="7"/>
  <c r="F139" i="7"/>
  <c r="F138" i="7"/>
  <c r="F137" i="7"/>
  <c r="F136" i="7"/>
  <c r="F135" i="7"/>
  <c r="F134" i="7"/>
  <c r="F133" i="7"/>
  <c r="F132" i="7"/>
  <c r="F131" i="7"/>
  <c r="F123" i="7"/>
  <c r="F122" i="7"/>
  <c r="F121" i="7"/>
  <c r="F120" i="7"/>
  <c r="G120" i="7" s="1"/>
  <c r="H120" i="7" s="1"/>
  <c r="F105" i="7"/>
  <c r="F104" i="7"/>
  <c r="F103" i="7"/>
  <c r="F102" i="7"/>
  <c r="F101" i="7"/>
  <c r="F100" i="7"/>
  <c r="F99" i="7"/>
  <c r="F98" i="7"/>
  <c r="F97" i="7"/>
  <c r="F96" i="7"/>
  <c r="F95" i="7"/>
  <c r="F86" i="7"/>
  <c r="F85" i="7"/>
  <c r="F84" i="7"/>
  <c r="F83" i="7"/>
  <c r="G83" i="7" s="1"/>
  <c r="H83" i="7" s="1"/>
  <c r="F68" i="7"/>
  <c r="F67" i="7"/>
  <c r="F66" i="7"/>
  <c r="F65" i="7"/>
  <c r="F64" i="7"/>
  <c r="F63" i="7"/>
  <c r="F62" i="7"/>
  <c r="F61" i="7"/>
  <c r="F60" i="7"/>
  <c r="F59" i="7"/>
  <c r="F58" i="7"/>
  <c r="F57" i="7"/>
  <c r="F49" i="7"/>
  <c r="F48" i="7"/>
  <c r="F47" i="7"/>
  <c r="F46" i="7"/>
  <c r="G46" i="7" s="1"/>
  <c r="F31" i="7"/>
  <c r="F30" i="7"/>
  <c r="F29" i="7"/>
  <c r="F28" i="7"/>
  <c r="F27" i="7"/>
  <c r="F26" i="7"/>
  <c r="F25" i="7"/>
  <c r="F24" i="7"/>
  <c r="F23" i="7"/>
  <c r="F22" i="7"/>
  <c r="F21" i="7"/>
  <c r="F20" i="7"/>
  <c r="F12" i="7"/>
  <c r="K46" i="1" l="1"/>
  <c r="G47" i="9"/>
  <c r="H47" i="9" s="1"/>
  <c r="G131" i="9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84" i="10"/>
  <c r="G85" i="10" s="1"/>
  <c r="G86" i="10" s="1"/>
  <c r="K120" i="1"/>
  <c r="K83" i="1"/>
  <c r="H46" i="1"/>
  <c r="G47" i="1"/>
  <c r="K47" i="1" s="1"/>
  <c r="G84" i="1"/>
  <c r="K84" i="1" s="1"/>
  <c r="G121" i="1"/>
  <c r="K121" i="1" s="1"/>
  <c r="G84" i="12"/>
  <c r="G85" i="12" s="1"/>
  <c r="G86" i="12" s="1"/>
  <c r="G87" i="12" s="1"/>
  <c r="G88" i="12" s="1"/>
  <c r="G89" i="12" s="1"/>
  <c r="G90" i="12" s="1"/>
  <c r="G91" i="12" s="1"/>
  <c r="G10" i="12"/>
  <c r="H10" i="12" s="1"/>
  <c r="G121" i="9"/>
  <c r="G122" i="9" s="1"/>
  <c r="G84" i="7"/>
  <c r="H46" i="12"/>
  <c r="G47" i="12"/>
  <c r="G121" i="12"/>
  <c r="H120" i="12"/>
  <c r="G10" i="9"/>
  <c r="G84" i="9"/>
  <c r="H120" i="9"/>
  <c r="G48" i="9"/>
  <c r="H9" i="11"/>
  <c r="G10" i="11"/>
  <c r="G84" i="11"/>
  <c r="H83" i="11"/>
  <c r="H46" i="11"/>
  <c r="G47" i="11"/>
  <c r="G121" i="11"/>
  <c r="H120" i="11"/>
  <c r="H120" i="10"/>
  <c r="G121" i="10"/>
  <c r="H9" i="10"/>
  <c r="G10" i="10"/>
  <c r="G47" i="10"/>
  <c r="H46" i="10"/>
  <c r="G121" i="5"/>
  <c r="H120" i="5"/>
  <c r="G47" i="5"/>
  <c r="H46" i="5"/>
  <c r="G84" i="5"/>
  <c r="H83" i="5"/>
  <c r="H9" i="5"/>
  <c r="G10" i="5"/>
  <c r="G47" i="7"/>
  <c r="H46" i="7"/>
  <c r="G121" i="7"/>
  <c r="H121" i="7" s="1"/>
  <c r="G10" i="7"/>
  <c r="H9" i="7"/>
  <c r="F142" i="4"/>
  <c r="F141" i="4"/>
  <c r="F140" i="4"/>
  <c r="F139" i="4"/>
  <c r="F138" i="4"/>
  <c r="F137" i="4"/>
  <c r="F136" i="4"/>
  <c r="F135" i="4"/>
  <c r="F134" i="4"/>
  <c r="F133" i="4"/>
  <c r="F132" i="4"/>
  <c r="F131" i="4"/>
  <c r="F123" i="4"/>
  <c r="F122" i="4"/>
  <c r="F121" i="4"/>
  <c r="F120" i="4"/>
  <c r="G120" i="4" s="1"/>
  <c r="F105" i="4"/>
  <c r="F104" i="4"/>
  <c r="F103" i="4"/>
  <c r="F102" i="4"/>
  <c r="F101" i="4"/>
  <c r="F100" i="4"/>
  <c r="F99" i="4"/>
  <c r="F98" i="4"/>
  <c r="F97" i="4"/>
  <c r="F96" i="4"/>
  <c r="F95" i="4"/>
  <c r="F94" i="4"/>
  <c r="F86" i="4"/>
  <c r="F85" i="4"/>
  <c r="F84" i="4"/>
  <c r="F83" i="4"/>
  <c r="G83" i="4" s="1"/>
  <c r="F68" i="4"/>
  <c r="F67" i="4"/>
  <c r="F66" i="4"/>
  <c r="F65" i="4"/>
  <c r="F64" i="4"/>
  <c r="F63" i="4"/>
  <c r="F62" i="4"/>
  <c r="F61" i="4"/>
  <c r="F60" i="4"/>
  <c r="F59" i="4"/>
  <c r="F58" i="4"/>
  <c r="F57" i="4"/>
  <c r="F47" i="4"/>
  <c r="F46" i="4"/>
  <c r="G46" i="4" s="1"/>
  <c r="F31" i="4"/>
  <c r="F30" i="4"/>
  <c r="F29" i="4"/>
  <c r="F28" i="4"/>
  <c r="F27" i="4"/>
  <c r="F26" i="4"/>
  <c r="F25" i="4"/>
  <c r="F24" i="4"/>
  <c r="F23" i="4"/>
  <c r="F22" i="4"/>
  <c r="F21" i="4"/>
  <c r="F20" i="4"/>
  <c r="F12" i="4"/>
  <c r="F10" i="4"/>
  <c r="F9" i="4"/>
  <c r="G9" i="4" s="1"/>
  <c r="L10" i="1"/>
  <c r="L9" i="1"/>
  <c r="I10" i="1"/>
  <c r="I11" i="1" s="1"/>
  <c r="I12" i="1" s="1"/>
  <c r="F31" i="1"/>
  <c r="F30" i="1"/>
  <c r="F29" i="1"/>
  <c r="F28" i="1"/>
  <c r="F27" i="1"/>
  <c r="F26" i="1"/>
  <c r="F25" i="1"/>
  <c r="F24" i="1"/>
  <c r="F23" i="1"/>
  <c r="F22" i="1"/>
  <c r="F21" i="1"/>
  <c r="F20" i="1"/>
  <c r="F12" i="1"/>
  <c r="F11" i="1"/>
  <c r="F10" i="1"/>
  <c r="F9" i="1"/>
  <c r="G9" i="1" s="1"/>
  <c r="H91" i="12" l="1"/>
  <c r="H90" i="12"/>
  <c r="H89" i="12"/>
  <c r="H88" i="12"/>
  <c r="H87" i="12"/>
  <c r="H86" i="10"/>
  <c r="G87" i="10"/>
  <c r="G88" i="10" s="1"/>
  <c r="G89" i="10" s="1"/>
  <c r="G90" i="10" s="1"/>
  <c r="G91" i="10" s="1"/>
  <c r="G49" i="9"/>
  <c r="H48" i="9"/>
  <c r="G85" i="7"/>
  <c r="H84" i="7"/>
  <c r="H84" i="12"/>
  <c r="H86" i="12"/>
  <c r="H84" i="10"/>
  <c r="G122" i="1"/>
  <c r="G123" i="1" s="1"/>
  <c r="G124" i="1" s="1"/>
  <c r="G125" i="1" s="1"/>
  <c r="H121" i="1"/>
  <c r="H84" i="1"/>
  <c r="G85" i="1"/>
  <c r="G86" i="1" s="1"/>
  <c r="G87" i="1" s="1"/>
  <c r="H47" i="1"/>
  <c r="G48" i="1"/>
  <c r="G49" i="1" s="1"/>
  <c r="G50" i="1" s="1"/>
  <c r="G11" i="12"/>
  <c r="H121" i="9"/>
  <c r="G122" i="12"/>
  <c r="G123" i="12" s="1"/>
  <c r="G124" i="12" s="1"/>
  <c r="G125" i="12" s="1"/>
  <c r="G126" i="12" s="1"/>
  <c r="G127" i="12" s="1"/>
  <c r="G128" i="12" s="1"/>
  <c r="H121" i="12"/>
  <c r="H47" i="12"/>
  <c r="G48" i="12"/>
  <c r="G49" i="12" s="1"/>
  <c r="G50" i="12" s="1"/>
  <c r="G51" i="12" s="1"/>
  <c r="G52" i="12" s="1"/>
  <c r="G53" i="12" s="1"/>
  <c r="G54" i="12" s="1"/>
  <c r="H85" i="12"/>
  <c r="H84" i="9"/>
  <c r="G85" i="9"/>
  <c r="G86" i="9" s="1"/>
  <c r="G87" i="9" s="1"/>
  <c r="G88" i="9" s="1"/>
  <c r="G89" i="9" s="1"/>
  <c r="G90" i="9" s="1"/>
  <c r="G91" i="9" s="1"/>
  <c r="H122" i="9"/>
  <c r="H10" i="9"/>
  <c r="G11" i="9"/>
  <c r="G12" i="9" s="1"/>
  <c r="G13" i="9" s="1"/>
  <c r="G14" i="9" s="1"/>
  <c r="G15" i="9" s="1"/>
  <c r="G16" i="9" s="1"/>
  <c r="G17" i="9" s="1"/>
  <c r="G18" i="9" s="1"/>
  <c r="H47" i="11"/>
  <c r="G48" i="11"/>
  <c r="G49" i="11" s="1"/>
  <c r="G50" i="11" s="1"/>
  <c r="H10" i="11"/>
  <c r="G11" i="11"/>
  <c r="G12" i="11" s="1"/>
  <c r="G13" i="11" s="1"/>
  <c r="G14" i="11" s="1"/>
  <c r="G15" i="11" s="1"/>
  <c r="G16" i="11" s="1"/>
  <c r="G17" i="11" s="1"/>
  <c r="G18" i="11" s="1"/>
  <c r="G122" i="11"/>
  <c r="G123" i="11" s="1"/>
  <c r="G124" i="11" s="1"/>
  <c r="H121" i="11"/>
  <c r="G85" i="11"/>
  <c r="G86" i="11" s="1"/>
  <c r="G87" i="11" s="1"/>
  <c r="H84" i="11"/>
  <c r="G11" i="10"/>
  <c r="G12" i="10" s="1"/>
  <c r="G13" i="10" s="1"/>
  <c r="G14" i="10" s="1"/>
  <c r="G15" i="10" s="1"/>
  <c r="G16" i="10" s="1"/>
  <c r="G17" i="10" s="1"/>
  <c r="G18" i="10" s="1"/>
  <c r="H10" i="10"/>
  <c r="H85" i="10"/>
  <c r="H47" i="10"/>
  <c r="G48" i="10"/>
  <c r="G49" i="10" s="1"/>
  <c r="G50" i="10" s="1"/>
  <c r="G51" i="10" s="1"/>
  <c r="G52" i="10" s="1"/>
  <c r="G53" i="10" s="1"/>
  <c r="G54" i="10" s="1"/>
  <c r="G122" i="10"/>
  <c r="G123" i="10" s="1"/>
  <c r="G124" i="10" s="1"/>
  <c r="G125" i="10" s="1"/>
  <c r="G126" i="10" s="1"/>
  <c r="G127" i="10" s="1"/>
  <c r="G128" i="10" s="1"/>
  <c r="H121" i="10"/>
  <c r="G11" i="5"/>
  <c r="G12" i="5" s="1"/>
  <c r="G13" i="5" s="1"/>
  <c r="G14" i="5" s="1"/>
  <c r="G15" i="5" s="1"/>
  <c r="G16" i="5" s="1"/>
  <c r="G17" i="5" s="1"/>
  <c r="G18" i="5" s="1"/>
  <c r="H10" i="5"/>
  <c r="G85" i="5"/>
  <c r="G86" i="5" s="1"/>
  <c r="G87" i="5" s="1"/>
  <c r="H84" i="5"/>
  <c r="H47" i="5"/>
  <c r="G48" i="5"/>
  <c r="G49" i="5" s="1"/>
  <c r="G50" i="5" s="1"/>
  <c r="G122" i="5"/>
  <c r="G123" i="5" s="1"/>
  <c r="G124" i="5" s="1"/>
  <c r="H121" i="5"/>
  <c r="G11" i="7"/>
  <c r="G12" i="7" s="1"/>
  <c r="G13" i="7" s="1"/>
  <c r="G14" i="7" s="1"/>
  <c r="G15" i="7" s="1"/>
  <c r="G16" i="7" s="1"/>
  <c r="G17" i="7" s="1"/>
  <c r="G18" i="7" s="1"/>
  <c r="H10" i="7"/>
  <c r="G122" i="7"/>
  <c r="G48" i="7"/>
  <c r="G49" i="7" s="1"/>
  <c r="G50" i="7" s="1"/>
  <c r="G51" i="7" s="1"/>
  <c r="G52" i="7" s="1"/>
  <c r="G53" i="7" s="1"/>
  <c r="G54" i="7" s="1"/>
  <c r="H47" i="7"/>
  <c r="G121" i="4"/>
  <c r="H120" i="4"/>
  <c r="G84" i="4"/>
  <c r="H83" i="4"/>
  <c r="G47" i="4"/>
  <c r="H46" i="4"/>
  <c r="H9" i="4"/>
  <c r="G10" i="4"/>
  <c r="G10" i="1"/>
  <c r="G11" i="1" s="1"/>
  <c r="H9" i="1"/>
  <c r="K9" i="1"/>
  <c r="H128" i="12" l="1"/>
  <c r="H54" i="12"/>
  <c r="G19" i="9"/>
  <c r="H19" i="9" s="1"/>
  <c r="H18" i="9"/>
  <c r="H91" i="9"/>
  <c r="H18" i="7"/>
  <c r="G19" i="7"/>
  <c r="H19" i="7" s="1"/>
  <c r="H54" i="7"/>
  <c r="G19" i="10"/>
  <c r="H19" i="10" s="1"/>
  <c r="H18" i="10"/>
  <c r="H128" i="10"/>
  <c r="H54" i="10"/>
  <c r="H91" i="10"/>
  <c r="H18" i="5"/>
  <c r="G19" i="5"/>
  <c r="H19" i="5" s="1"/>
  <c r="H18" i="11"/>
  <c r="G19" i="11"/>
  <c r="H19" i="11" s="1"/>
  <c r="H127" i="12"/>
  <c r="H53" i="12"/>
  <c r="H17" i="9"/>
  <c r="H90" i="9"/>
  <c r="H17" i="7"/>
  <c r="H53" i="7"/>
  <c r="H17" i="10"/>
  <c r="H127" i="10"/>
  <c r="H53" i="10"/>
  <c r="H90" i="10"/>
  <c r="H17" i="5"/>
  <c r="H17" i="11"/>
  <c r="H126" i="12"/>
  <c r="H52" i="12"/>
  <c r="H16" i="9"/>
  <c r="H89" i="9"/>
  <c r="H16" i="7"/>
  <c r="H52" i="7"/>
  <c r="H16" i="10"/>
  <c r="H126" i="10"/>
  <c r="H52" i="10"/>
  <c r="H89" i="10"/>
  <c r="H16" i="5"/>
  <c r="H16" i="11"/>
  <c r="H15" i="9"/>
  <c r="H15" i="7"/>
  <c r="H15" i="10"/>
  <c r="H15" i="5"/>
  <c r="H15" i="11"/>
  <c r="K125" i="1"/>
  <c r="G126" i="1"/>
  <c r="G127" i="1" s="1"/>
  <c r="G128" i="1" s="1"/>
  <c r="G129" i="1" s="1"/>
  <c r="H51" i="12"/>
  <c r="H125" i="12"/>
  <c r="H88" i="9"/>
  <c r="H51" i="7"/>
  <c r="H51" i="10"/>
  <c r="H88" i="10"/>
  <c r="H125" i="10"/>
  <c r="G51" i="5"/>
  <c r="G52" i="5" s="1"/>
  <c r="G53" i="5" s="1"/>
  <c r="G54" i="5" s="1"/>
  <c r="H50" i="5"/>
  <c r="G88" i="5"/>
  <c r="G89" i="5" s="1"/>
  <c r="G90" i="5" s="1"/>
  <c r="G91" i="5" s="1"/>
  <c r="H87" i="5"/>
  <c r="G125" i="5"/>
  <c r="G126" i="5" s="1"/>
  <c r="H124" i="5"/>
  <c r="G51" i="11"/>
  <c r="G52" i="11" s="1"/>
  <c r="G53" i="11" s="1"/>
  <c r="G54" i="11" s="1"/>
  <c r="H50" i="11"/>
  <c r="G88" i="11"/>
  <c r="G89" i="11" s="1"/>
  <c r="G90" i="11" s="1"/>
  <c r="G91" i="11" s="1"/>
  <c r="H87" i="11"/>
  <c r="G125" i="11"/>
  <c r="G126" i="11" s="1"/>
  <c r="G127" i="11" s="1"/>
  <c r="G128" i="11" s="1"/>
  <c r="H124" i="11"/>
  <c r="H50" i="12"/>
  <c r="H124" i="12"/>
  <c r="H14" i="9"/>
  <c r="H87" i="9"/>
  <c r="H49" i="9"/>
  <c r="G50" i="9"/>
  <c r="G51" i="9" s="1"/>
  <c r="G52" i="9" s="1"/>
  <c r="G53" i="9" s="1"/>
  <c r="G54" i="9" s="1"/>
  <c r="H14" i="7"/>
  <c r="H50" i="7"/>
  <c r="H14" i="10"/>
  <c r="H124" i="10"/>
  <c r="H50" i="10"/>
  <c r="H125" i="1"/>
  <c r="G51" i="1"/>
  <c r="K50" i="1"/>
  <c r="H50" i="1"/>
  <c r="H87" i="10"/>
  <c r="G88" i="1"/>
  <c r="K87" i="1"/>
  <c r="H87" i="1"/>
  <c r="H14" i="5"/>
  <c r="H14" i="11"/>
  <c r="H13" i="9"/>
  <c r="H13" i="7"/>
  <c r="H13" i="10"/>
  <c r="H13" i="5"/>
  <c r="H13" i="11"/>
  <c r="G94" i="12"/>
  <c r="G95" i="12" s="1"/>
  <c r="G96" i="12" s="1"/>
  <c r="G97" i="12" s="1"/>
  <c r="G98" i="12" s="1"/>
  <c r="G99" i="12" s="1"/>
  <c r="G100" i="12" s="1"/>
  <c r="G101" i="12" s="1"/>
  <c r="G102" i="12" s="1"/>
  <c r="G103" i="12" s="1"/>
  <c r="G104" i="12" s="1"/>
  <c r="G105" i="12" s="1"/>
  <c r="K124" i="1"/>
  <c r="H124" i="1"/>
  <c r="H86" i="9"/>
  <c r="H122" i="7"/>
  <c r="G123" i="7"/>
  <c r="G124" i="7" s="1"/>
  <c r="G125" i="7" s="1"/>
  <c r="G126" i="7" s="1"/>
  <c r="G127" i="7" s="1"/>
  <c r="G128" i="7" s="1"/>
  <c r="H12" i="7"/>
  <c r="H85" i="7"/>
  <c r="G86" i="7"/>
  <c r="G87" i="7" s="1"/>
  <c r="G88" i="7" s="1"/>
  <c r="G89" i="7" s="1"/>
  <c r="G90" i="7" s="1"/>
  <c r="G91" i="7" s="1"/>
  <c r="G92" i="7" s="1"/>
  <c r="H12" i="10"/>
  <c r="H123" i="10"/>
  <c r="H49" i="10"/>
  <c r="H123" i="5"/>
  <c r="H86" i="5"/>
  <c r="H86" i="11"/>
  <c r="H123" i="11"/>
  <c r="H12" i="11"/>
  <c r="H49" i="11"/>
  <c r="K86" i="1"/>
  <c r="H86" i="1"/>
  <c r="K123" i="1"/>
  <c r="H123" i="1"/>
  <c r="G12" i="1"/>
  <c r="G13" i="1" s="1"/>
  <c r="G14" i="1" s="1"/>
  <c r="K49" i="1"/>
  <c r="H49" i="1"/>
  <c r="H49" i="5"/>
  <c r="H12" i="5"/>
  <c r="H123" i="12"/>
  <c r="H49" i="12"/>
  <c r="H11" i="12"/>
  <c r="G12" i="12"/>
  <c r="G13" i="12" s="1"/>
  <c r="G14" i="12" s="1"/>
  <c r="G15" i="12" s="1"/>
  <c r="G16" i="12" s="1"/>
  <c r="G17" i="12" s="1"/>
  <c r="G18" i="12" s="1"/>
  <c r="H12" i="9"/>
  <c r="H49" i="7"/>
  <c r="H122" i="1"/>
  <c r="K122" i="1"/>
  <c r="H85" i="1"/>
  <c r="K85" i="1"/>
  <c r="H48" i="1"/>
  <c r="K48" i="1"/>
  <c r="K11" i="1"/>
  <c r="K10" i="1"/>
  <c r="H10" i="1"/>
  <c r="H48" i="12"/>
  <c r="H122" i="12"/>
  <c r="H85" i="9"/>
  <c r="H11" i="9"/>
  <c r="H85" i="11"/>
  <c r="H122" i="11"/>
  <c r="H11" i="11"/>
  <c r="H48" i="11"/>
  <c r="H122" i="10"/>
  <c r="H48" i="10"/>
  <c r="H11" i="10"/>
  <c r="H122" i="5"/>
  <c r="H48" i="5"/>
  <c r="H85" i="5"/>
  <c r="H11" i="5"/>
  <c r="H11" i="7"/>
  <c r="H48" i="7"/>
  <c r="H121" i="4"/>
  <c r="G122" i="4"/>
  <c r="G123" i="4" s="1"/>
  <c r="G124" i="4" s="1"/>
  <c r="G85" i="4"/>
  <c r="G86" i="4" s="1"/>
  <c r="G87" i="4" s="1"/>
  <c r="H84" i="4"/>
  <c r="H47" i="4"/>
  <c r="G11" i="4"/>
  <c r="G12" i="4" s="1"/>
  <c r="G13" i="4" s="1"/>
  <c r="G14" i="4" s="1"/>
  <c r="G15" i="4" s="1"/>
  <c r="G16" i="4" s="1"/>
  <c r="G17" i="4" s="1"/>
  <c r="G18" i="4" s="1"/>
  <c r="H10" i="4"/>
  <c r="H11" i="1"/>
  <c r="G19" i="12" l="1"/>
  <c r="H19" i="12" s="1"/>
  <c r="H18" i="12"/>
  <c r="H54" i="9"/>
  <c r="H128" i="7"/>
  <c r="H91" i="5"/>
  <c r="H54" i="5"/>
  <c r="G127" i="5"/>
  <c r="H126" i="5"/>
  <c r="H128" i="11"/>
  <c r="H91" i="11"/>
  <c r="H54" i="11"/>
  <c r="G19" i="4"/>
  <c r="H19" i="4" s="1"/>
  <c r="H18" i="4"/>
  <c r="K129" i="1"/>
  <c r="H129" i="1"/>
  <c r="G130" i="1"/>
  <c r="H17" i="12"/>
  <c r="H53" i="9"/>
  <c r="H127" i="7"/>
  <c r="H53" i="5"/>
  <c r="H90" i="5"/>
  <c r="H127" i="11"/>
  <c r="H90" i="11"/>
  <c r="H53" i="11"/>
  <c r="H17" i="4"/>
  <c r="K128" i="1"/>
  <c r="H128" i="1"/>
  <c r="G131" i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H16" i="12"/>
  <c r="H52" i="9"/>
  <c r="H126" i="7"/>
  <c r="G94" i="10"/>
  <c r="G95" i="10" s="1"/>
  <c r="G96" i="10" s="1"/>
  <c r="G97" i="10" s="1"/>
  <c r="G98" i="10" s="1"/>
  <c r="G99" i="10" s="1"/>
  <c r="G100" i="10" s="1"/>
  <c r="G101" i="10" s="1"/>
  <c r="G102" i="10" s="1"/>
  <c r="G103" i="10" s="1"/>
  <c r="G104" i="10" s="1"/>
  <c r="G105" i="10" s="1"/>
  <c r="H52" i="5"/>
  <c r="H89" i="5"/>
  <c r="H126" i="11"/>
  <c r="H89" i="11"/>
  <c r="H52" i="11"/>
  <c r="H16" i="4"/>
  <c r="K127" i="1"/>
  <c r="H127" i="1"/>
  <c r="H15" i="12"/>
  <c r="H15" i="4"/>
  <c r="K51" i="1"/>
  <c r="G52" i="1"/>
  <c r="G53" i="1" s="1"/>
  <c r="G54" i="1" s="1"/>
  <c r="G55" i="1" s="1"/>
  <c r="K88" i="1"/>
  <c r="G89" i="1"/>
  <c r="G90" i="1" s="1"/>
  <c r="G91" i="1" s="1"/>
  <c r="G92" i="1" s="1"/>
  <c r="K126" i="1"/>
  <c r="H126" i="1"/>
  <c r="K14" i="1"/>
  <c r="G15" i="1"/>
  <c r="G16" i="1" s="1"/>
  <c r="G17" i="1" s="1"/>
  <c r="G18" i="1" s="1"/>
  <c r="H51" i="9"/>
  <c r="H125" i="7"/>
  <c r="H125" i="5"/>
  <c r="H88" i="5"/>
  <c r="H51" i="5"/>
  <c r="H125" i="11"/>
  <c r="H88" i="11"/>
  <c r="H51" i="11"/>
  <c r="G125" i="4"/>
  <c r="G126" i="4" s="1"/>
  <c r="G127" i="4" s="1"/>
  <c r="G128" i="4" s="1"/>
  <c r="H124" i="4"/>
  <c r="G88" i="4"/>
  <c r="G89" i="4" s="1"/>
  <c r="G90" i="4" s="1"/>
  <c r="G91" i="4" s="1"/>
  <c r="H87" i="4"/>
  <c r="H14" i="12"/>
  <c r="H50" i="9"/>
  <c r="H87" i="7"/>
  <c r="H88" i="7" s="1"/>
  <c r="H89" i="7" s="1"/>
  <c r="H90" i="7" s="1"/>
  <c r="H91" i="7" s="1"/>
  <c r="H92" i="7" s="1"/>
  <c r="H124" i="7"/>
  <c r="H51" i="1"/>
  <c r="H88" i="1"/>
  <c r="H14" i="4"/>
  <c r="H14" i="1"/>
  <c r="H13" i="1"/>
  <c r="K13" i="1"/>
  <c r="G131" i="12"/>
  <c r="G132" i="12" s="1"/>
  <c r="G133" i="12" s="1"/>
  <c r="G134" i="12" s="1"/>
  <c r="G135" i="12" s="1"/>
  <c r="G136" i="12" s="1"/>
  <c r="G137" i="12" s="1"/>
  <c r="G138" i="12" s="1"/>
  <c r="G139" i="12" s="1"/>
  <c r="G140" i="12" s="1"/>
  <c r="G141" i="12" s="1"/>
  <c r="G142" i="12" s="1"/>
  <c r="H13" i="12"/>
  <c r="G131" i="10"/>
  <c r="G132" i="10" s="1"/>
  <c r="G133" i="10" s="1"/>
  <c r="G134" i="10" s="1"/>
  <c r="G135" i="10" s="1"/>
  <c r="G136" i="10" s="1"/>
  <c r="G137" i="10" s="1"/>
  <c r="G138" i="10" s="1"/>
  <c r="G139" i="10" s="1"/>
  <c r="G140" i="10" s="1"/>
  <c r="G141" i="10" s="1"/>
  <c r="G142" i="10" s="1"/>
  <c r="G131" i="11"/>
  <c r="G132" i="11" s="1"/>
  <c r="G133" i="11" s="1"/>
  <c r="G134" i="11" s="1"/>
  <c r="G135" i="11" s="1"/>
  <c r="G136" i="11" s="1"/>
  <c r="G137" i="11" s="1"/>
  <c r="G138" i="11" s="1"/>
  <c r="G139" i="11" s="1"/>
  <c r="G140" i="11" s="1"/>
  <c r="G141" i="11" s="1"/>
  <c r="G142" i="11" s="1"/>
  <c r="H13" i="4"/>
  <c r="G57" i="12"/>
  <c r="G58" i="12" s="1"/>
  <c r="G59" i="12" s="1"/>
  <c r="G60" i="12" s="1"/>
  <c r="G61" i="12" s="1"/>
  <c r="G62" i="12" s="1"/>
  <c r="G63" i="12" s="1"/>
  <c r="G64" i="12" s="1"/>
  <c r="G65" i="12" s="1"/>
  <c r="G66" i="12" s="1"/>
  <c r="G67" i="12" s="1"/>
  <c r="G68" i="12" s="1"/>
  <c r="G94" i="9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20" i="9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57" i="7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20" i="7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20" i="10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20" i="5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94" i="11"/>
  <c r="G95" i="11" s="1"/>
  <c r="G96" i="11" s="1"/>
  <c r="G97" i="11" s="1"/>
  <c r="G98" i="11" s="1"/>
  <c r="G99" i="11" s="1"/>
  <c r="G100" i="11" s="1"/>
  <c r="G101" i="11" s="1"/>
  <c r="G102" i="11" s="1"/>
  <c r="G103" i="11" s="1"/>
  <c r="G104" i="11" s="1"/>
  <c r="G105" i="11" s="1"/>
  <c r="G20" i="1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H86" i="4"/>
  <c r="H123" i="4"/>
  <c r="H86" i="7"/>
  <c r="H123" i="7"/>
  <c r="H12" i="1"/>
  <c r="K12" i="1"/>
  <c r="H12" i="4"/>
  <c r="H12" i="12"/>
  <c r="H122" i="4"/>
  <c r="H85" i="4"/>
  <c r="H11" i="4"/>
  <c r="G48" i="4"/>
  <c r="H127" i="5" l="1"/>
  <c r="G128" i="5"/>
  <c r="H91" i="4"/>
  <c r="H128" i="4"/>
  <c r="G93" i="1"/>
  <c r="H92" i="1"/>
  <c r="K92" i="1"/>
  <c r="G56" i="1"/>
  <c r="H55" i="1"/>
  <c r="K55" i="1"/>
  <c r="K130" i="1"/>
  <c r="H130" i="1"/>
  <c r="G19" i="1"/>
  <c r="K18" i="1"/>
  <c r="H18" i="1"/>
  <c r="G94" i="5"/>
  <c r="G95" i="5" s="1"/>
  <c r="G96" i="5" s="1"/>
  <c r="G97" i="5" s="1"/>
  <c r="G98" i="5" s="1"/>
  <c r="G99" i="5" s="1"/>
  <c r="G100" i="5" s="1"/>
  <c r="G101" i="5" s="1"/>
  <c r="G102" i="5" s="1"/>
  <c r="G103" i="5" s="1"/>
  <c r="G104" i="5" s="1"/>
  <c r="G105" i="5" s="1"/>
  <c r="H90" i="4"/>
  <c r="K54" i="1"/>
  <c r="H54" i="1"/>
  <c r="H127" i="4"/>
  <c r="K91" i="1"/>
  <c r="H91" i="1"/>
  <c r="K17" i="1"/>
  <c r="H17" i="1"/>
  <c r="G57" i="11"/>
  <c r="G58" i="11" s="1"/>
  <c r="G59" i="11" s="1"/>
  <c r="G60" i="11" s="1"/>
  <c r="G61" i="11" s="1"/>
  <c r="G62" i="11" s="1"/>
  <c r="G63" i="11" s="1"/>
  <c r="G64" i="11" s="1"/>
  <c r="G65" i="11" s="1"/>
  <c r="G66" i="11" s="1"/>
  <c r="G67" i="11" s="1"/>
  <c r="G68" i="11" s="1"/>
  <c r="H126" i="4"/>
  <c r="K90" i="1"/>
  <c r="H90" i="1"/>
  <c r="H53" i="1"/>
  <c r="K53" i="1"/>
  <c r="H89" i="4"/>
  <c r="K16" i="1"/>
  <c r="H16" i="1"/>
  <c r="G57" i="5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K89" i="1"/>
  <c r="H89" i="1"/>
  <c r="H52" i="1"/>
  <c r="K52" i="1"/>
  <c r="K15" i="1"/>
  <c r="H15" i="1"/>
  <c r="H88" i="4"/>
  <c r="H125" i="4"/>
  <c r="G57" i="9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95" i="7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20" i="12"/>
  <c r="G21" i="12" s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131" i="7"/>
  <c r="G132" i="7" s="1"/>
  <c r="G133" i="7" s="1"/>
  <c r="G134" i="7" s="1"/>
  <c r="G135" i="7" s="1"/>
  <c r="G136" i="7" s="1"/>
  <c r="G137" i="7" s="1"/>
  <c r="G138" i="7" s="1"/>
  <c r="G139" i="7" s="1"/>
  <c r="G140" i="7" s="1"/>
  <c r="G141" i="7" s="1"/>
  <c r="G142" i="7" s="1"/>
  <c r="G20" i="4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49" i="4"/>
  <c r="G50" i="4" s="1"/>
  <c r="H48" i="4"/>
  <c r="H128" i="5" l="1"/>
  <c r="H93" i="1"/>
  <c r="K93" i="1"/>
  <c r="H56" i="1"/>
  <c r="K56" i="1"/>
  <c r="K19" i="1"/>
  <c r="H19" i="1"/>
  <c r="G20" i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94" i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94" i="4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H50" i="4"/>
  <c r="G51" i="4"/>
  <c r="G52" i="4" s="1"/>
  <c r="G53" i="4" s="1"/>
  <c r="G54" i="4" s="1"/>
  <c r="G131" i="4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H49" i="4"/>
  <c r="G131" i="5" l="1"/>
  <c r="G132" i="5" s="1"/>
  <c r="G133" i="5" s="1"/>
  <c r="G134" i="5" s="1"/>
  <c r="G135" i="5" s="1"/>
  <c r="G136" i="5" s="1"/>
  <c r="G137" i="5" s="1"/>
  <c r="G138" i="5" s="1"/>
  <c r="G139" i="5" s="1"/>
  <c r="G140" i="5" s="1"/>
  <c r="G141" i="5" s="1"/>
  <c r="G142" i="5" s="1"/>
  <c r="H54" i="4"/>
  <c r="H53" i="4"/>
  <c r="H52" i="4"/>
  <c r="G57" i="10"/>
  <c r="H51" i="4"/>
  <c r="G58" i="10" l="1"/>
  <c r="H57" i="10"/>
  <c r="G57" i="4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59" i="10" l="1"/>
  <c r="H58" i="10"/>
  <c r="G57" i="1"/>
  <c r="G60" i="10" l="1"/>
  <c r="H59" i="10"/>
  <c r="G58" i="1"/>
  <c r="H57" i="1"/>
  <c r="G61" i="10" l="1"/>
  <c r="H60" i="10"/>
  <c r="G59" i="1"/>
  <c r="H58" i="1"/>
  <c r="G62" i="10" l="1"/>
  <c r="H61" i="10"/>
  <c r="G60" i="1"/>
  <c r="H59" i="1"/>
  <c r="G63" i="10" l="1"/>
  <c r="H62" i="10"/>
  <c r="G61" i="1"/>
  <c r="H60" i="1"/>
  <c r="G64" i="10" l="1"/>
  <c r="H63" i="10"/>
  <c r="G62" i="1"/>
  <c r="H61" i="1"/>
  <c r="G65" i="10" l="1"/>
  <c r="H64" i="10"/>
  <c r="G63" i="1"/>
  <c r="H62" i="1"/>
  <c r="G66" i="10" l="1"/>
  <c r="H65" i="10"/>
  <c r="G64" i="1"/>
  <c r="H63" i="1"/>
  <c r="G67" i="10" l="1"/>
  <c r="H66" i="10"/>
  <c r="G65" i="1"/>
  <c r="H64" i="1"/>
  <c r="G68" i="10" l="1"/>
  <c r="H68" i="10" s="1"/>
  <c r="H67" i="10"/>
  <c r="G66" i="1"/>
  <c r="H65" i="1"/>
  <c r="G67" i="1" l="1"/>
  <c r="H66" i="1"/>
  <c r="G68" i="1" l="1"/>
  <c r="H68" i="1" s="1"/>
  <c r="H67" i="1"/>
</calcChain>
</file>

<file path=xl/sharedStrings.xml><?xml version="1.0" encoding="utf-8"?>
<sst xmlns="http://schemas.openxmlformats.org/spreadsheetml/2006/main" count="2744" uniqueCount="85">
  <si>
    <t>PLEASE NOTE:</t>
  </si>
  <si>
    <t>The comparisons made with previous years are only indicative.</t>
  </si>
  <si>
    <t>It is only an indication of how the crop is delivered at commercial premises between years.</t>
  </si>
  <si>
    <t>The comparison is based on the WEEK NUMBER and not actual dates.</t>
  </si>
  <si>
    <t>The beginning and end dates of a week are therefore not the same for each year.</t>
  </si>
  <si>
    <t>TOTAL RAISINS: 
WEEKLY PRODUCER DELIVERIES</t>
  </si>
  <si>
    <t>2026 Marketing Year</t>
  </si>
  <si>
    <t>Comparison with Previous Marketing Year</t>
  </si>
  <si>
    <t>Comparison with 3 Year Average</t>
  </si>
  <si>
    <t>1 January 2026 - 31 December 2026</t>
  </si>
  <si>
    <t>Week</t>
  </si>
  <si>
    <t>Week Ending</t>
  </si>
  <si>
    <t>Reported Deliveries</t>
  </si>
  <si>
    <t>Adjustments</t>
  </si>
  <si>
    <t>Week Total</t>
  </si>
  <si>
    <t>Cum. Total</t>
  </si>
  <si>
    <t>% Change from Previous Year</t>
  </si>
  <si>
    <t>Cum. Total 2025</t>
  </si>
  <si>
    <t>Current Year % Change from 3 Year Average</t>
  </si>
  <si>
    <t>3 Year Average Cum. Total 2023 - 2025</t>
  </si>
  <si>
    <t>KG</t>
  </si>
  <si>
    <t>19/01/2026 - 23/01/2026</t>
  </si>
  <si>
    <t>26/01/2026 - 30/01/2026</t>
  </si>
  <si>
    <t>02/02/2026 - 06/02/2026</t>
  </si>
  <si>
    <t>09/02/2026 - 13/02/2026</t>
  </si>
  <si>
    <t>16/02/2026 - 20/02/2026</t>
  </si>
  <si>
    <t>23/02/2026 - 27/02/2026</t>
  </si>
  <si>
    <t>06-12 Apr</t>
  </si>
  <si>
    <t>13-17 Apr</t>
  </si>
  <si>
    <t>20-24 Apr</t>
  </si>
  <si>
    <t>27 Apr-1 May</t>
  </si>
  <si>
    <t>04 - 08 May</t>
  </si>
  <si>
    <t>11-15 May</t>
  </si>
  <si>
    <t>18-22 May</t>
  </si>
  <si>
    <t>25-29 May</t>
  </si>
  <si>
    <t>01-05 Jun</t>
  </si>
  <si>
    <t>08-12 Jun</t>
  </si>
  <si>
    <t>15 - 19 Jun</t>
  </si>
  <si>
    <t>22 - 26 Jun</t>
  </si>
  <si>
    <t>Footnotes:</t>
  </si>
  <si>
    <t>This information is reported by Raisins SA NPC as submitted by collaborators.</t>
  </si>
  <si>
    <t>Weekly producer deliveries were verified by means of the WEEKLY returns.</t>
  </si>
  <si>
    <t>Adjustments are made because of amendments and/or late returns.</t>
  </si>
  <si>
    <t>ORANGE RIVER</t>
  </si>
  <si>
    <t>TOTAL RAISINS: WEEKLY PRODUCER DELIVERIES</t>
  </si>
  <si>
    <t>OLIFANTS RIVER</t>
  </si>
  <si>
    <t>NAMIBIA</t>
  </si>
  <si>
    <t>TOTAL THOMPSONS: WEEKLY PRODUCER DELIVERIES</t>
  </si>
  <si>
    <t>TOTAL FLAME: WEEKLY PRODUCER DELIVERIES</t>
  </si>
  <si>
    <t>TOTAL SA SULTANA: WEEKLY PRODUCER DELIVERIES</t>
  </si>
  <si>
    <t>TOTAL OR SULTANA: WEEKLY PRODUCER DELIVERIES</t>
  </si>
  <si>
    <t>TOTAL GOLDENS: WEEKLY PRODUCER DELIVERIES</t>
  </si>
  <si>
    <t>TOTAL CURRANTS: WEEKLY PRODUCER DELIVERIES</t>
  </si>
  <si>
    <t>-</t>
  </si>
  <si>
    <t>TOTAL OTHER TYPE: WEEKLY PRODUCER DELIVERIES</t>
  </si>
  <si>
    <t>TAKE NOTE: THOMPSON SELMA PETE SUGRA 39 IS PART OF THE THOMPSONS INTAKE PER TOTAL AND AREA</t>
  </si>
  <si>
    <t>THIS DATA IS JUST FOR ACKNOWLEGMENT</t>
  </si>
  <si>
    <t> </t>
  </si>
  <si>
    <t>TOTAL THOMPSON SELMA PETE SUGRA39: WEEKLY PRODUCER DELIVERIES</t>
  </si>
  <si>
    <t>TAKE NOTE: THOMPSON ORGANIC TYPE IS PART OF THE THOMPSON INTAKE PER TOTAL AND AREA</t>
  </si>
  <si>
    <t>TOTAL THOMPSON ORGANIC: WEEKLY PRODUCER DELIVERIES</t>
  </si>
  <si>
    <t>TAKE NOTE: JUMBO THOMPSON SEEDLESS TYPE IS PART OF THE THOMPSON INTAKE PER TOTAL AND AREA</t>
  </si>
  <si>
    <t>TOTAL JUMBO THOMPSON SEEDLESS: WEEKLY PRODUCER DELIVERIES</t>
  </si>
  <si>
    <t>TAKE NOTE: BLACK FLAME TYPE IS PART OF THE FLAME INTAKE PER TOTAL AND AREA</t>
  </si>
  <si>
    <t>TOTAL BLACK FLAME TYPE: WEEKLY PRODUCER DELIVERIES</t>
  </si>
  <si>
    <t>TAKE NOTE: JUMBO GOLDENS TYPE IS PART OF THE GOLDENS INTAKE PER TOTAL AND AREA</t>
  </si>
  <si>
    <t>TOTAL JUMBO GOLDENS: WEEKLY PRODUCER DELIVERIES</t>
  </si>
  <si>
    <t>02/03/2026 - 06/03/2026</t>
  </si>
  <si>
    <t>09/03/2026 - 13/03/2026</t>
  </si>
  <si>
    <t>23/03/2026 - 27/03/2026</t>
  </si>
  <si>
    <t>30/03/2026 - 03/04/2026</t>
  </si>
  <si>
    <t>06/04/2026 - 10/04/2026</t>
  </si>
  <si>
    <t>13/04/2026 - 17/04/2026</t>
  </si>
  <si>
    <t>20/04/2026 - 24/04/2026</t>
  </si>
  <si>
    <t>27/04/2026 - 01/05/2026</t>
  </si>
  <si>
    <t>04/05/2026 - 08/05/2026</t>
  </si>
  <si>
    <t>11/05/2026 - 15/05/2026</t>
  </si>
  <si>
    <t>18/05/2026 - 22/05/2026</t>
  </si>
  <si>
    <t>25/05/2026 - 29/05/2026</t>
  </si>
  <si>
    <t>01/06/2026 - 06/06/2026</t>
  </si>
  <si>
    <t>08/06/2026 - 12/06/2026</t>
  </si>
  <si>
    <t>15/06/2026 - 19/06/2026</t>
  </si>
  <si>
    <t>22/06/2026 - 26/06/2026</t>
  </si>
  <si>
    <t>16/03/2026 - 20/03/2026</t>
  </si>
  <si>
    <t>Publication Date: 2026/04/09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</si>
</sst>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.##"/>
  </numFmts>
  <fonts count="17" x14ac:knownFonts="1">
    <font>
      <sz val="11"/>
      <color rgb="FF000000"/>
      <name val="Arial Narrow"/>
    </font>
    <font>
      <sz val="11"/>
      <color theme="1"/>
      <name val="Calibri"/>
      <family val="2"/>
      <scheme val="minor"/>
    </font>
    <font>
      <b/>
      <sz val="12"/>
      <color rgb="FF000000"/>
      <name val="Aptos"/>
      <family val="2"/>
    </font>
    <font>
      <sz val="11"/>
      <color rgb="FF000000"/>
      <name val="Aptos"/>
      <family val="2"/>
    </font>
    <font>
      <b/>
      <i/>
      <sz val="11"/>
      <color rgb="FFD41727"/>
      <name val="Aptos"/>
      <family val="2"/>
    </font>
    <font>
      <b/>
      <sz val="10"/>
      <color rgb="FF000000"/>
      <name val="Aptos"/>
      <family val="2"/>
    </font>
    <font>
      <b/>
      <i/>
      <sz val="10"/>
      <color rgb="FF000000"/>
      <name val="Aptos"/>
      <family val="2"/>
    </font>
    <font>
      <sz val="10"/>
      <color rgb="FF000000"/>
      <name val="Aptos"/>
      <family val="2"/>
    </font>
    <font>
      <i/>
      <sz val="10"/>
      <color rgb="FF00000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6"/>
      <color rgb="FF000000"/>
      <name val="Aptos"/>
      <family val="2"/>
    </font>
    <font>
      <b/>
      <sz val="14"/>
      <color rgb="FF000000"/>
      <name val="Aptos"/>
      <family val="2"/>
    </font>
    <font>
      <sz val="14"/>
      <color rgb="FF000000"/>
      <name val="Aptos"/>
      <family val="2"/>
    </font>
    <font>
      <sz val="12"/>
      <color rgb="FF000000"/>
      <name val="Aptos"/>
      <family val="2"/>
    </font>
    <font>
      <b/>
      <i/>
      <sz val="11"/>
      <color rgb="FF000000"/>
      <name val="Aptos"/>
      <family val="2"/>
    </font>
    <font>
      <sz val="11"/>
      <color rgb="FF00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31">
    <border>
      <left/>
      <right/>
      <top/>
      <bottom/>
      <diagonal/>
    </border>
    <border>
      <left style="thin">
        <color rgb="FF0A0101"/>
      </left>
      <right style="thin">
        <color rgb="FF0A0101"/>
      </right>
      <top/>
      <bottom style="thin">
        <color rgb="FF0A0101"/>
      </bottom>
      <diagonal/>
    </border>
    <border>
      <left style="thin">
        <color rgb="FF0A0101"/>
      </left>
      <right style="thin">
        <color rgb="FF0A0101"/>
      </right>
      <top style="thin">
        <color rgb="FF0A0101"/>
      </top>
      <bottom style="dotted">
        <color rgb="FF0A0101"/>
      </bottom>
      <diagonal/>
    </border>
    <border>
      <left style="thin">
        <color rgb="FF0A0101"/>
      </left>
      <right style="thin">
        <color rgb="FF0A0101"/>
      </right>
      <top style="dotted">
        <color rgb="FF0A0101"/>
      </top>
      <bottom style="dotted">
        <color rgb="FF0A0101"/>
      </bottom>
      <diagonal/>
    </border>
    <border>
      <left style="thin">
        <color rgb="FF0A0101"/>
      </left>
      <right style="thin">
        <color rgb="FF0A0101"/>
      </right>
      <top style="dotted">
        <color rgb="FF0A0101"/>
      </top>
      <bottom style="thin">
        <color rgb="FF0A0101"/>
      </bottom>
      <diagonal/>
    </border>
    <border>
      <left style="thin">
        <color rgb="FF0A0101"/>
      </left>
      <right style="thin">
        <color rgb="FF0A0101"/>
      </right>
      <top/>
      <bottom style="dotted">
        <color rgb="FF0A0101"/>
      </bottom>
      <diagonal/>
    </border>
    <border>
      <left style="thin">
        <color rgb="FF0A0101"/>
      </left>
      <right/>
      <top style="thin">
        <color rgb="FF0A0101"/>
      </top>
      <bottom style="thin">
        <color rgb="FF0A0101"/>
      </bottom>
      <diagonal/>
    </border>
    <border>
      <left/>
      <right/>
      <top style="thin">
        <color rgb="FF0A0101"/>
      </top>
      <bottom style="thin">
        <color rgb="FF0A0101"/>
      </bottom>
      <diagonal/>
    </border>
    <border>
      <left/>
      <right style="thin">
        <color rgb="FF0A0101"/>
      </right>
      <top style="thin">
        <color rgb="FF0A0101"/>
      </top>
      <bottom style="thin">
        <color rgb="FF0A0101"/>
      </bottom>
      <diagonal/>
    </border>
    <border>
      <left style="thin">
        <color rgb="FF0A01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A0101"/>
      </left>
      <right style="thin">
        <color rgb="FF0A0101"/>
      </right>
      <top/>
      <bottom/>
      <diagonal/>
    </border>
    <border>
      <left style="thin">
        <color rgb="FF0A010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A0101"/>
      </right>
      <top style="thin">
        <color indexed="64"/>
      </top>
      <bottom/>
      <diagonal/>
    </border>
    <border>
      <left style="thin">
        <color rgb="FF0A010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A01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A0101"/>
      </bottom>
      <diagonal/>
    </border>
    <border>
      <left/>
      <right style="thin">
        <color rgb="FF0A0101"/>
      </right>
      <top/>
      <bottom style="dotted">
        <color rgb="FF0A0101"/>
      </bottom>
      <diagonal/>
    </border>
    <border>
      <left style="thin">
        <color rgb="FF0A0101"/>
      </left>
      <right style="thin">
        <color rgb="FF000000"/>
      </right>
      <top style="dotted">
        <color rgb="FF0A0101"/>
      </top>
      <bottom style="dotted">
        <color rgb="FF0A0101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A0101"/>
      </left>
      <right style="thin">
        <color rgb="FF000000"/>
      </right>
      <top/>
      <bottom style="thin">
        <color rgb="FF0A0101"/>
      </bottom>
      <diagonal/>
    </border>
    <border>
      <left/>
      <right style="thin">
        <color rgb="FF000000"/>
      </right>
      <top style="thin">
        <color rgb="FF0A0101"/>
      </top>
      <bottom style="thin">
        <color rgb="FF0A0101"/>
      </bottom>
      <diagonal/>
    </border>
    <border>
      <left style="thin">
        <color rgb="FF0A0101"/>
      </left>
      <right style="thin">
        <color rgb="FF000000"/>
      </right>
      <top style="dotted">
        <color rgb="FF0A0101"/>
      </top>
      <bottom style="thin">
        <color rgb="FF0A01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A0101"/>
      </left>
      <right style="thin">
        <color rgb="FF0A0101"/>
      </right>
      <top style="dotted">
        <color rgb="FF0A0101"/>
      </top>
      <bottom/>
      <diagonal/>
    </border>
    <border>
      <left style="thin">
        <color rgb="FF0A0101"/>
      </left>
      <right style="thin">
        <color rgb="FF000000"/>
      </right>
      <top style="dotted">
        <color rgb="FF0A0101"/>
      </top>
      <bottom/>
      <diagonal/>
    </border>
    <border>
      <left style="thin">
        <color rgb="FF0A0101"/>
      </left>
      <right style="thin">
        <color rgb="FF000000"/>
      </right>
      <top/>
      <bottom style="dotted">
        <color rgb="FF0A01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/>
  </cellStyleXfs>
  <cellXfs count="191">
    <xf numFmtId="0" fontId="0" fillId="0" borderId="0" xfId="0"/>
    <xf numFmtId="0" fontId="3" fillId="2" borderId="0" xfId="0" applyFont="1" applyFill="1"/>
    <xf numFmtId="0" fontId="4" fillId="0" borderId="0" xfId="0" applyFont="1"/>
    <xf numFmtId="0" fontId="3" fillId="0" borderId="0" xfId="0" applyFont="1"/>
    <xf numFmtId="0" fontId="5" fillId="2" borderId="0" xfId="0" applyFont="1" applyFill="1"/>
    <xf numFmtId="0" fontId="7" fillId="2" borderId="0" xfId="0" applyFont="1" applyFill="1"/>
    <xf numFmtId="3" fontId="7" fillId="2" borderId="0" xfId="0" applyNumberFormat="1" applyFont="1" applyFill="1"/>
    <xf numFmtId="165" fontId="7" fillId="2" borderId="0" xfId="0" applyNumberFormat="1" applyFont="1" applyFill="1"/>
    <xf numFmtId="0" fontId="6" fillId="2" borderId="0" xfId="0" applyFont="1" applyFill="1"/>
    <xf numFmtId="0" fontId="8" fillId="2" borderId="0" xfId="0" applyFont="1" applyFill="1"/>
    <xf numFmtId="0" fontId="7" fillId="0" borderId="0" xfId="0" applyFont="1"/>
    <xf numFmtId="0" fontId="5" fillId="2" borderId="3" xfId="0" applyFont="1" applyFill="1" applyBorder="1"/>
    <xf numFmtId="165" fontId="8" fillId="0" borderId="3" xfId="0" applyNumberFormat="1" applyFont="1" applyBorder="1"/>
    <xf numFmtId="0" fontId="5" fillId="2" borderId="16" xfId="0" applyFont="1" applyFill="1" applyBorder="1"/>
    <xf numFmtId="0" fontId="5" fillId="2" borderId="17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3" fontId="7" fillId="0" borderId="5" xfId="0" applyNumberFormat="1" applyFont="1" applyBorder="1"/>
    <xf numFmtId="0" fontId="7" fillId="0" borderId="9" xfId="0" applyFont="1" applyBorder="1"/>
    <xf numFmtId="3" fontId="7" fillId="0" borderId="2" xfId="0" applyNumberFormat="1" applyFont="1" applyBorder="1"/>
    <xf numFmtId="4" fontId="7" fillId="0" borderId="3" xfId="0" applyNumberFormat="1" applyFont="1" applyBorder="1"/>
    <xf numFmtId="4" fontId="5" fillId="0" borderId="3" xfId="0" applyNumberFormat="1" applyFont="1" applyBorder="1"/>
    <xf numFmtId="3" fontId="7" fillId="0" borderId="3" xfId="0" applyNumberFormat="1" applyFont="1" applyBorder="1"/>
    <xf numFmtId="0" fontId="2" fillId="2" borderId="0" xfId="0" applyFont="1" applyFill="1"/>
    <xf numFmtId="0" fontId="5" fillId="2" borderId="4" xfId="0" applyFont="1" applyFill="1" applyBorder="1"/>
    <xf numFmtId="0" fontId="10" fillId="0" borderId="19" xfId="0" applyFont="1" applyBorder="1" applyAlignment="1">
      <alignment horizontal="right" vertical="center"/>
    </xf>
    <xf numFmtId="4" fontId="7" fillId="0" borderId="4" xfId="0" applyNumberFormat="1" applyFont="1" applyBorder="1"/>
    <xf numFmtId="4" fontId="5" fillId="0" borderId="4" xfId="0" applyNumberFormat="1" applyFont="1" applyBorder="1"/>
    <xf numFmtId="165" fontId="8" fillId="0" borderId="4" xfId="0" applyNumberFormat="1" applyFont="1" applyBorder="1"/>
    <xf numFmtId="3" fontId="7" fillId="0" borderId="4" xfId="0" applyNumberFormat="1" applyFont="1" applyBorder="1"/>
    <xf numFmtId="0" fontId="13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0" borderId="0" xfId="0" applyFont="1"/>
    <xf numFmtId="0" fontId="14" fillId="2" borderId="0" xfId="0" applyFont="1" applyFill="1"/>
    <xf numFmtId="4" fontId="3" fillId="0" borderId="0" xfId="0" applyNumberFormat="1" applyFont="1"/>
    <xf numFmtId="0" fontId="9" fillId="0" borderId="10" xfId="0" applyFont="1" applyBorder="1" applyAlignment="1">
      <alignment horizontal="right" vertical="center"/>
    </xf>
    <xf numFmtId="3" fontId="3" fillId="0" borderId="0" xfId="0" applyNumberFormat="1" applyFont="1"/>
    <xf numFmtId="0" fontId="5" fillId="2" borderId="3" xfId="0" applyFont="1" applyFill="1" applyBorder="1" applyAlignment="1">
      <alignment horizontal="center"/>
    </xf>
    <xf numFmtId="3" fontId="3" fillId="2" borderId="0" xfId="0" applyNumberFormat="1" applyFont="1" applyFill="1"/>
    <xf numFmtId="3" fontId="7" fillId="0" borderId="0" xfId="0" applyNumberFormat="1" applyFont="1"/>
    <xf numFmtId="3" fontId="5" fillId="0" borderId="5" xfId="0" applyNumberFormat="1" applyFont="1" applyBorder="1"/>
    <xf numFmtId="3" fontId="8" fillId="0" borderId="5" xfId="0" applyNumberFormat="1" applyFont="1" applyBorder="1"/>
    <xf numFmtId="3" fontId="7" fillId="0" borderId="9" xfId="0" applyNumberFormat="1" applyFont="1" applyBorder="1"/>
    <xf numFmtId="3" fontId="8" fillId="0" borderId="2" xfId="0" applyNumberFormat="1" applyFont="1" applyBorder="1"/>
    <xf numFmtId="3" fontId="5" fillId="0" borderId="3" xfId="0" applyNumberFormat="1" applyFont="1" applyBorder="1"/>
    <xf numFmtId="3" fontId="8" fillId="0" borderId="3" xfId="0" applyNumberFormat="1" applyFont="1" applyBorder="1"/>
    <xf numFmtId="3" fontId="5" fillId="8" borderId="3" xfId="0" applyNumberFormat="1" applyFont="1" applyFill="1" applyBorder="1"/>
    <xf numFmtId="3" fontId="5" fillId="9" borderId="3" xfId="0" applyNumberFormat="1" applyFont="1" applyFill="1" applyBorder="1"/>
    <xf numFmtId="3" fontId="5" fillId="10" borderId="3" xfId="0" applyNumberFormat="1" applyFont="1" applyFill="1" applyBorder="1"/>
    <xf numFmtId="3" fontId="5" fillId="5" borderId="3" xfId="0" applyNumberFormat="1" applyFont="1" applyFill="1" applyBorder="1"/>
    <xf numFmtId="1" fontId="9" fillId="0" borderId="10" xfId="0" applyNumberFormat="1" applyFont="1" applyBorder="1" applyAlignment="1">
      <alignment horizontal="right" vertical="center"/>
    </xf>
    <xf numFmtId="1" fontId="7" fillId="0" borderId="5" xfId="0" applyNumberFormat="1" applyFont="1" applyBorder="1"/>
    <xf numFmtId="1" fontId="5" fillId="0" borderId="5" xfId="0" applyNumberFormat="1" applyFont="1" applyBorder="1"/>
    <xf numFmtId="1" fontId="8" fillId="0" borderId="5" xfId="0" applyNumberFormat="1" applyFont="1" applyBorder="1"/>
    <xf numFmtId="1" fontId="7" fillId="0" borderId="3" xfId="0" applyNumberFormat="1" applyFont="1" applyBorder="1"/>
    <xf numFmtId="1" fontId="5" fillId="0" borderId="3" xfId="0" applyNumberFormat="1" applyFont="1" applyBorder="1"/>
    <xf numFmtId="1" fontId="8" fillId="0" borderId="3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2" fillId="2" borderId="0" xfId="0" applyNumberFormat="1" applyFont="1" applyFill="1"/>
    <xf numFmtId="3" fontId="5" fillId="2" borderId="0" xfId="0" applyNumberFormat="1" applyFont="1" applyFill="1"/>
    <xf numFmtId="3" fontId="5" fillId="0" borderId="0" xfId="0" applyNumberFormat="1" applyFont="1"/>
    <xf numFmtId="3" fontId="5" fillId="0" borderId="4" xfId="0" applyNumberFormat="1" applyFont="1" applyBorder="1"/>
    <xf numFmtId="3" fontId="8" fillId="0" borderId="4" xfId="0" applyNumberFormat="1" applyFont="1" applyBorder="1"/>
    <xf numFmtId="3" fontId="14" fillId="0" borderId="0" xfId="0" applyNumberFormat="1" applyFont="1"/>
    <xf numFmtId="0" fontId="15" fillId="6" borderId="0" xfId="0" applyFont="1" applyFill="1"/>
    <xf numFmtId="0" fontId="15" fillId="6" borderId="0" xfId="0" applyFont="1" applyFill="1" applyAlignment="1">
      <alignment horizontal="right"/>
    </xf>
    <xf numFmtId="3" fontId="15" fillId="6" borderId="0" xfId="0" applyNumberFormat="1" applyFont="1" applyFill="1" applyAlignment="1">
      <alignment horizontal="right"/>
    </xf>
    <xf numFmtId="3" fontId="15" fillId="6" borderId="0" xfId="0" applyNumberFormat="1" applyFont="1" applyFill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12" fillId="2" borderId="0" xfId="0" applyFont="1" applyFill="1" applyAlignment="1">
      <alignment horizontal="right"/>
    </xf>
    <xf numFmtId="3" fontId="5" fillId="0" borderId="24" xfId="0" applyNumberFormat="1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3" fontId="8" fillId="0" borderId="0" xfId="0" applyNumberFormat="1" applyFont="1"/>
    <xf numFmtId="0" fontId="5" fillId="2" borderId="5" xfId="0" applyFont="1" applyFill="1" applyBorder="1" applyAlignment="1">
      <alignment horizontal="center"/>
    </xf>
    <xf numFmtId="0" fontId="7" fillId="0" borderId="11" xfId="0" applyFont="1" applyBorder="1" applyAlignment="1">
      <alignment horizontal="right"/>
    </xf>
    <xf numFmtId="3" fontId="7" fillId="0" borderId="21" xfId="0" applyNumberFormat="1" applyFont="1" applyBorder="1"/>
    <xf numFmtId="4" fontId="7" fillId="0" borderId="0" xfId="0" applyNumberFormat="1" applyFont="1"/>
    <xf numFmtId="0" fontId="9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/>
    </xf>
    <xf numFmtId="3" fontId="7" fillId="0" borderId="26" xfId="0" applyNumberFormat="1" applyFont="1" applyBorder="1"/>
    <xf numFmtId="0" fontId="7" fillId="2" borderId="0" xfId="0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8" fillId="2" borderId="0" xfId="0" applyNumberFormat="1" applyFont="1" applyFill="1"/>
    <xf numFmtId="0" fontId="7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2" borderId="0" xfId="0" applyFont="1" applyFill="1" applyAlignment="1">
      <alignment horizontal="center"/>
    </xf>
    <xf numFmtId="0" fontId="9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15" fillId="0" borderId="0" xfId="0" applyNumberFormat="1" applyFont="1"/>
    <xf numFmtId="2" fontId="0" fillId="0" borderId="0" xfId="0" applyNumberFormat="1"/>
    <xf numFmtId="4" fontId="0" fillId="0" borderId="0" xfId="0" applyNumberFormat="1"/>
    <xf numFmtId="0" fontId="9" fillId="0" borderId="27" xfId="0" applyFont="1" applyBorder="1" applyAlignment="1">
      <alignment horizontal="right" vertical="center"/>
    </xf>
    <xf numFmtId="3" fontId="7" fillId="0" borderId="28" xfId="0" applyNumberFormat="1" applyFont="1" applyBorder="1"/>
    <xf numFmtId="3" fontId="5" fillId="0" borderId="28" xfId="0" applyNumberFormat="1" applyFont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3" fontId="11" fillId="4" borderId="0" xfId="0" applyNumberFormat="1" applyFont="1" applyFill="1" applyAlignment="1">
      <alignment horizontal="center" vertical="center" wrapText="1"/>
    </xf>
    <xf numFmtId="3" fontId="11" fillId="4" borderId="0" xfId="0" applyNumberFormat="1" applyFont="1" applyFill="1" applyAlignment="1">
      <alignment horizontal="center" vertical="center"/>
    </xf>
    <xf numFmtId="3" fontId="12" fillId="9" borderId="0" xfId="0" applyNumberFormat="1" applyFont="1" applyFill="1" applyAlignment="1">
      <alignment horizontal="center"/>
    </xf>
    <xf numFmtId="3" fontId="11" fillId="3" borderId="0" xfId="0" applyNumberFormat="1" applyFont="1" applyFill="1" applyAlignment="1">
      <alignment horizontal="center"/>
    </xf>
    <xf numFmtId="3" fontId="5" fillId="2" borderId="1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2" borderId="15" xfId="0" applyNumberFormat="1" applyFont="1" applyFill="1" applyBorder="1" applyAlignment="1">
      <alignment horizontal="center"/>
    </xf>
    <xf numFmtId="3" fontId="5" fillId="2" borderId="13" xfId="0" applyNumberFormat="1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3" fontId="5" fillId="2" borderId="16" xfId="0" applyNumberFormat="1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 wrapText="1"/>
    </xf>
    <xf numFmtId="3" fontId="5" fillId="2" borderId="16" xfId="0" applyNumberFormat="1" applyFont="1" applyFill="1" applyBorder="1" applyAlignment="1">
      <alignment horizontal="center"/>
    </xf>
    <xf numFmtId="3" fontId="5" fillId="2" borderId="17" xfId="0" applyNumberFormat="1" applyFont="1" applyFill="1" applyBorder="1" applyAlignment="1">
      <alignment horizontal="center"/>
    </xf>
    <xf numFmtId="3" fontId="5" fillId="2" borderId="1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12" fillId="10" borderId="0" xfId="0" applyNumberFormat="1" applyFont="1" applyFill="1" applyAlignment="1">
      <alignment horizontal="center"/>
    </xf>
    <xf numFmtId="3" fontId="11" fillId="7" borderId="0" xfId="0" applyNumberFormat="1" applyFont="1" applyFill="1" applyAlignment="1">
      <alignment horizontal="center"/>
    </xf>
    <xf numFmtId="3" fontId="12" fillId="5" borderId="0" xfId="0" applyNumberFormat="1" applyFont="1" applyFill="1" applyAlignment="1">
      <alignment horizontal="center"/>
    </xf>
    <xf numFmtId="3" fontId="11" fillId="6" borderId="0" xfId="0" applyNumberFormat="1" applyFont="1" applyFill="1" applyAlignment="1">
      <alignment horizontal="center"/>
    </xf>
    <xf numFmtId="3" fontId="12" fillId="4" borderId="0" xfId="0" applyNumberFormat="1" applyFont="1" applyFill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2" fillId="6" borderId="0" xfId="0" applyNumberFormat="1" applyFont="1" applyFill="1" applyAlignment="1">
      <alignment horizontal="center"/>
    </xf>
    <xf numFmtId="3" fontId="2" fillId="7" borderId="0" xfId="0" applyNumberFormat="1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2" fillId="9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2" fillId="10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3" fontId="12" fillId="7" borderId="0" xfId="0" applyNumberFormat="1" applyFont="1" applyFill="1" applyAlignment="1">
      <alignment horizontal="center"/>
    </xf>
    <xf numFmtId="3" fontId="12" fillId="6" borderId="0" xfId="0" applyNumberFormat="1" applyFont="1" applyFill="1" applyAlignment="1">
      <alignment horizontal="center"/>
    </xf>
    <xf numFmtId="3" fontId="6" fillId="0" borderId="9" xfId="0" applyNumberFormat="1" applyFont="1" applyBorder="1" applyAlignment="1">
      <alignment wrapText="1"/>
    </xf>
    <xf numFmtId="3" fontId="5" fillId="0" borderId="25" xfId="0" applyNumberFormat="1" applyFont="1" applyBorder="1" applyAlignment="1">
      <alignment horizontal="center"/>
    </xf>
    <xf numFmtId="3" fontId="12" fillId="6" borderId="0" xfId="0" applyNumberFormat="1" applyFont="1" applyFill="1"/>
    <xf numFmtId="3" fontId="2" fillId="6" borderId="0" xfId="0" applyNumberFormat="1" applyFont="1" applyFill="1"/>
    <xf numFmtId="3" fontId="5" fillId="2" borderId="22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wrapText="1"/>
    </xf>
    <xf numFmtId="3" fontId="5" fillId="2" borderId="23" xfId="0" applyNumberFormat="1" applyFont="1" applyFill="1" applyBorder="1" applyAlignment="1">
      <alignment horizontal="center"/>
    </xf>
    <xf numFmtId="3" fontId="12" fillId="7" borderId="0" xfId="0" applyNumberFormat="1" applyFont="1" applyFill="1"/>
    <xf numFmtId="3" fontId="2" fillId="7" borderId="0" xfId="0" applyNumberFormat="1" applyFont="1" applyFill="1"/>
    <xf numFmtId="3" fontId="12" fillId="3" borderId="0" xfId="0" applyNumberFormat="1" applyFont="1" applyFill="1"/>
    <xf numFmtId="3" fontId="2" fillId="3" borderId="0" xfId="0" applyNumberFormat="1" applyFont="1" applyFill="1"/>
    <xf numFmtId="3" fontId="2" fillId="4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</cellXfs>
  <cellStyles count="3">
    <cellStyle name="Comma 2 70" xfId="1" xr:uid="{46010E02-A7EF-4B2B-911F-C2DC324CA382}"/>
    <cellStyle name="Normal" xfId="0" builtinId="0"/>
    <cellStyle name="Normal 2" xfId="2" xr:uid="{4C6831DD-DEA8-4DAB-860D-DDD2941AED2F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the Orange River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Raisins'!$B$46:$B$68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'Total Raisins'!$G$46:$G$68</c:f>
              <c:numCache>
                <c:formatCode>#,##0</c:formatCode>
                <c:ptCount val="11"/>
                <c:pt idx="0">
                  <c:v>1599778.44</c:v>
                </c:pt>
                <c:pt idx="1">
                  <c:v>7222553.959999999</c:v>
                </c:pt>
                <c:pt idx="2">
                  <c:v>15718405.969999999</c:v>
                </c:pt>
                <c:pt idx="3">
                  <c:v>23305839.02</c:v>
                </c:pt>
                <c:pt idx="4">
                  <c:v>30211262.640000001</c:v>
                </c:pt>
                <c:pt idx="5">
                  <c:v>35236633.659999996</c:v>
                </c:pt>
                <c:pt idx="6">
                  <c:v>46141971.209999993</c:v>
                </c:pt>
                <c:pt idx="7">
                  <c:v>55295965.75999999</c:v>
                </c:pt>
                <c:pt idx="8">
                  <c:v>64197706.339999989</c:v>
                </c:pt>
                <c:pt idx="9">
                  <c:v>68830899.609999985</c:v>
                </c:pt>
                <c:pt idx="10">
                  <c:v>70192658.149999991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7-4597-8AE9-821430F8B594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Raisins'!$B$46:$B$68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'Total Raisins'!$I$46:$I$68</c:f>
              <c:numCache>
                <c:formatCode>#,##0</c:formatCode>
                <c:ptCount val="11"/>
                <c:pt idx="0">
                  <c:v>701403.25</c:v>
                </c:pt>
                <c:pt idx="1">
                  <c:v>4842655.0999999996</c:v>
                </c:pt>
                <c:pt idx="2">
                  <c:v>8413078.7300000004</c:v>
                </c:pt>
                <c:pt idx="3">
                  <c:v>14706470.870000001</c:v>
                </c:pt>
                <c:pt idx="4">
                  <c:v>21663081.57</c:v>
                </c:pt>
                <c:pt idx="5">
                  <c:v>29121702.059999999</c:v>
                </c:pt>
                <c:pt idx="6">
                  <c:v>39876708.530000001</c:v>
                </c:pt>
                <c:pt idx="7">
                  <c:v>47096889.210000001</c:v>
                </c:pt>
                <c:pt idx="8">
                  <c:v>54007618.460000001</c:v>
                </c:pt>
                <c:pt idx="9">
                  <c:v>59100133.219999999</c:v>
                </c:pt>
                <c:pt idx="10">
                  <c:v>65301742.93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87-4597-8AE9-821430F8B594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Raisins'!$B$46:$B$68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'Total Raisins'!$L$46:$L$68</c:f>
              <c:numCache>
                <c:formatCode>#,##0</c:formatCode>
                <c:ptCount val="11"/>
                <c:pt idx="0">
                  <c:v>2424873.7433333336</c:v>
                </c:pt>
                <c:pt idx="1">
                  <c:v>7561773.71</c:v>
                </c:pt>
                <c:pt idx="2">
                  <c:v>12196226.060000001</c:v>
                </c:pt>
                <c:pt idx="3">
                  <c:v>18539565.43</c:v>
                </c:pt>
                <c:pt idx="4">
                  <c:v>25847868.539999999</c:v>
                </c:pt>
                <c:pt idx="5">
                  <c:v>33975340.116666667</c:v>
                </c:pt>
                <c:pt idx="6">
                  <c:v>42903301.299999997</c:v>
                </c:pt>
                <c:pt idx="7">
                  <c:v>49382648.399999999</c:v>
                </c:pt>
                <c:pt idx="8">
                  <c:v>54124339.460000001</c:v>
                </c:pt>
                <c:pt idx="9">
                  <c:v>57684243.960000001</c:v>
                </c:pt>
                <c:pt idx="10">
                  <c:v>60360222.109999999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87-4597-8AE9-821430F8B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9612552"/>
        <c:axId val="309614600"/>
      </c:lineChart>
      <c:catAx>
        <c:axId val="309612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614600"/>
        <c:crosses val="autoZero"/>
        <c:auto val="1"/>
        <c:lblAlgn val="ctr"/>
        <c:lblOffset val="100"/>
        <c:noMultiLvlLbl val="0"/>
      </c:catAx>
      <c:valAx>
        <c:axId val="30961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0961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Flame!$B$9:$B$31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Flame!$G$9:$G$31</c:f>
              <c:numCache>
                <c:formatCode>#,##0</c:formatCode>
                <c:ptCount val="11"/>
                <c:pt idx="0">
                  <c:v>132961.5</c:v>
                </c:pt>
                <c:pt idx="1">
                  <c:v>545426.72</c:v>
                </c:pt>
                <c:pt idx="2">
                  <c:v>1383748.8599999999</c:v>
                </c:pt>
                <c:pt idx="3">
                  <c:v>2059155</c:v>
                </c:pt>
                <c:pt idx="4">
                  <c:v>2832330.73</c:v>
                </c:pt>
                <c:pt idx="5">
                  <c:v>3561490.99</c:v>
                </c:pt>
                <c:pt idx="6">
                  <c:v>4654934.6000000006</c:v>
                </c:pt>
                <c:pt idx="7">
                  <c:v>5694361.290000001</c:v>
                </c:pt>
                <c:pt idx="8">
                  <c:v>6720021.9800000004</c:v>
                </c:pt>
                <c:pt idx="9">
                  <c:v>7197639.1400000006</c:v>
                </c:pt>
                <c:pt idx="10">
                  <c:v>7345148.2400000002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9-4884-A28D-32443E1BB45B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Flame!$B$9:$B$31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Flame!$I$9:$I$31</c:f>
              <c:numCache>
                <c:formatCode>#,##0</c:formatCode>
                <c:ptCount val="11"/>
                <c:pt idx="0">
                  <c:v>21515</c:v>
                </c:pt>
                <c:pt idx="1">
                  <c:v>450613.09</c:v>
                </c:pt>
                <c:pt idx="2">
                  <c:v>798696.39</c:v>
                </c:pt>
                <c:pt idx="3">
                  <c:v>1473789.92</c:v>
                </c:pt>
                <c:pt idx="4">
                  <c:v>1934155.44</c:v>
                </c:pt>
                <c:pt idx="5">
                  <c:v>2601757.69</c:v>
                </c:pt>
                <c:pt idx="6">
                  <c:v>3508960.24</c:v>
                </c:pt>
                <c:pt idx="7">
                  <c:v>4271031.51</c:v>
                </c:pt>
                <c:pt idx="8">
                  <c:v>4795591.5299999993</c:v>
                </c:pt>
                <c:pt idx="9">
                  <c:v>5170061.28</c:v>
                </c:pt>
                <c:pt idx="10">
                  <c:v>5362354.78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09-4884-A28D-32443E1BB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Flame!$B$46:$B$68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Flame!$G$46:$G$68</c:f>
              <c:numCache>
                <c:formatCode>0</c:formatCode>
                <c:ptCount val="11"/>
                <c:pt idx="0">
                  <c:v>72307.5</c:v>
                </c:pt>
                <c:pt idx="1">
                  <c:v>309748.5</c:v>
                </c:pt>
                <c:pt idx="2">
                  <c:v>1054203</c:v>
                </c:pt>
                <c:pt idx="3">
                  <c:v>1608960</c:v>
                </c:pt>
                <c:pt idx="4" formatCode="#,##0">
                  <c:v>2165828.52</c:v>
                </c:pt>
                <c:pt idx="5" formatCode="#,##0">
                  <c:v>2665833.02</c:v>
                </c:pt>
                <c:pt idx="6" formatCode="#,##0">
                  <c:v>3653173.02</c:v>
                </c:pt>
                <c:pt idx="7" formatCode="#,##0">
                  <c:v>4336588.54</c:v>
                </c:pt>
                <c:pt idx="8" formatCode="#,##0">
                  <c:v>4950222.05</c:v>
                </c:pt>
                <c:pt idx="9" formatCode="#,##0">
                  <c:v>5047543.0599999996</c:v>
                </c:pt>
                <c:pt idx="10" formatCode="#,##0">
                  <c:v>5087235.0799999991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7-486A-9519-656159D33E7E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Flame!$B$46:$B$68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Flame!$I$46:$I$68</c:f>
              <c:numCache>
                <c:formatCode>0</c:formatCode>
                <c:ptCount val="11"/>
                <c:pt idx="0">
                  <c:v>21515</c:v>
                </c:pt>
                <c:pt idx="1">
                  <c:v>320555.5</c:v>
                </c:pt>
                <c:pt idx="2">
                  <c:v>633296.76</c:v>
                </c:pt>
                <c:pt idx="3">
                  <c:v>1289688.27</c:v>
                </c:pt>
                <c:pt idx="4" formatCode="#,##0">
                  <c:v>1668881.77</c:v>
                </c:pt>
                <c:pt idx="5" formatCode="#,##0">
                  <c:v>2286506.52</c:v>
                </c:pt>
                <c:pt idx="6" formatCode="#,##0">
                  <c:v>3046002.02</c:v>
                </c:pt>
                <c:pt idx="7" formatCode="#,##0">
                  <c:v>3708187.77</c:v>
                </c:pt>
                <c:pt idx="8" formatCode="#,##0">
                  <c:v>4027895.25</c:v>
                </c:pt>
                <c:pt idx="9" formatCode="#,##0">
                  <c:v>4364032.75</c:v>
                </c:pt>
                <c:pt idx="10" formatCode="#,##0">
                  <c:v>4534718.75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7-486A-9519-656159D33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Flame!$B$83:$B$105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Flame!$G$83:$G$105</c:f>
              <c:numCache>
                <c:formatCode>#,##0</c:formatCode>
                <c:ptCount val="11"/>
                <c:pt idx="0">
                  <c:v>0</c:v>
                </c:pt>
                <c:pt idx="1">
                  <c:v>108465.11</c:v>
                </c:pt>
                <c:pt idx="2">
                  <c:v>156325.16999999998</c:v>
                </c:pt>
                <c:pt idx="3">
                  <c:v>231452.25999999998</c:v>
                </c:pt>
                <c:pt idx="4">
                  <c:v>290930.76999999996</c:v>
                </c:pt>
                <c:pt idx="5">
                  <c:v>454235.89999999997</c:v>
                </c:pt>
                <c:pt idx="6">
                  <c:v>537690.43999999994</c:v>
                </c:pt>
                <c:pt idx="7">
                  <c:v>814207.01</c:v>
                </c:pt>
                <c:pt idx="8">
                  <c:v>1193907.1400000001</c:v>
                </c:pt>
                <c:pt idx="9">
                  <c:v>1535183.77</c:v>
                </c:pt>
                <c:pt idx="10">
                  <c:v>1591463.82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C-4FD1-A95F-3BAC565E309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Flame!$B$83:$B$105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Flame!$I$83:$I$105</c:f>
              <c:numCache>
                <c:formatCode>#,##0</c:formatCode>
                <c:ptCount val="11"/>
                <c:pt idx="0">
                  <c:v>0</c:v>
                </c:pt>
                <c:pt idx="1">
                  <c:v>20976.04</c:v>
                </c:pt>
                <c:pt idx="2">
                  <c:v>30050.550000000003</c:v>
                </c:pt>
                <c:pt idx="3">
                  <c:v>42946.070000000007</c:v>
                </c:pt>
                <c:pt idx="4">
                  <c:v>123768.59</c:v>
                </c:pt>
                <c:pt idx="5">
                  <c:v>156411.59</c:v>
                </c:pt>
                <c:pt idx="6">
                  <c:v>298074.14</c:v>
                </c:pt>
                <c:pt idx="7">
                  <c:v>373000.15</c:v>
                </c:pt>
                <c:pt idx="8">
                  <c:v>536072.16</c:v>
                </c:pt>
                <c:pt idx="9">
                  <c:v>574404.41</c:v>
                </c:pt>
                <c:pt idx="10">
                  <c:v>596011.91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C-4FD1-A95F-3BAC565E3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Flame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Flame!$B$120:$B$142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Flame!$G$120:$G$142</c:f>
              <c:numCache>
                <c:formatCode>#,##0</c:formatCode>
                <c:ptCount val="11"/>
                <c:pt idx="0">
                  <c:v>60654</c:v>
                </c:pt>
                <c:pt idx="1">
                  <c:v>127213.11</c:v>
                </c:pt>
                <c:pt idx="2">
                  <c:v>173220.69</c:v>
                </c:pt>
                <c:pt idx="3">
                  <c:v>218742.74</c:v>
                </c:pt>
                <c:pt idx="4">
                  <c:v>375571.44</c:v>
                </c:pt>
                <c:pt idx="5">
                  <c:v>441422.07</c:v>
                </c:pt>
                <c:pt idx="6">
                  <c:v>464071.14</c:v>
                </c:pt>
                <c:pt idx="7">
                  <c:v>543565.74</c:v>
                </c:pt>
                <c:pt idx="8">
                  <c:v>575892.79</c:v>
                </c:pt>
                <c:pt idx="9">
                  <c:v>614912.31000000006</c:v>
                </c:pt>
                <c:pt idx="10">
                  <c:v>666449.34000000008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0-43CC-81FE-E5FE1298BE48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Flame!$B$120:$B$142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Flame!$I$120:$I$142</c:f>
              <c:numCache>
                <c:formatCode>#,##0</c:formatCode>
                <c:ptCount val="11"/>
                <c:pt idx="0">
                  <c:v>0</c:v>
                </c:pt>
                <c:pt idx="1">
                  <c:v>109081.55</c:v>
                </c:pt>
                <c:pt idx="2">
                  <c:v>135349.08000000002</c:v>
                </c:pt>
                <c:pt idx="3">
                  <c:v>141155.58000000002</c:v>
                </c:pt>
                <c:pt idx="4">
                  <c:v>141505.07999999999</c:v>
                </c:pt>
                <c:pt idx="5">
                  <c:v>158839.57999999999</c:v>
                </c:pt>
                <c:pt idx="6">
                  <c:v>164884.07999999999</c:v>
                </c:pt>
                <c:pt idx="7">
                  <c:v>189843.59</c:v>
                </c:pt>
                <c:pt idx="8">
                  <c:v>231624.12</c:v>
                </c:pt>
                <c:pt idx="9">
                  <c:v>231624.12</c:v>
                </c:pt>
                <c:pt idx="10">
                  <c:v>231624.12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0-43CC-81FE-E5FE1298B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6248456"/>
        <c:axId val="246250504"/>
      </c:lineChart>
      <c:catAx>
        <c:axId val="246248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50504"/>
        <c:crosses val="autoZero"/>
        <c:auto val="1"/>
        <c:lblAlgn val="ctr"/>
        <c:lblOffset val="100"/>
        <c:noMultiLvlLbl val="0"/>
      </c:catAx>
      <c:valAx>
        <c:axId val="24625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24624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Sultana'!$B$9:$B$31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'SA Sultana'!$G$9:$G$31</c:f>
              <c:numCache>
                <c:formatCode>#,##0</c:formatCode>
                <c:ptCount val="11"/>
                <c:pt idx="0">
                  <c:v>281223.5</c:v>
                </c:pt>
                <c:pt idx="1">
                  <c:v>942717.81</c:v>
                </c:pt>
                <c:pt idx="2">
                  <c:v>1546757.31</c:v>
                </c:pt>
                <c:pt idx="3">
                  <c:v>2029241.81</c:v>
                </c:pt>
                <c:pt idx="4">
                  <c:v>2334652.33</c:v>
                </c:pt>
                <c:pt idx="5">
                  <c:v>2485744.33</c:v>
                </c:pt>
                <c:pt idx="6">
                  <c:v>2997706.84</c:v>
                </c:pt>
                <c:pt idx="7">
                  <c:v>3268454.84</c:v>
                </c:pt>
                <c:pt idx="8">
                  <c:v>3643439.36</c:v>
                </c:pt>
                <c:pt idx="9">
                  <c:v>3893338.86</c:v>
                </c:pt>
                <c:pt idx="10">
                  <c:v>3935462.86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B-47E8-81E3-5D4A9B94818F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Sultana'!$B$9:$B$31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'SA Sultana'!$I$9:$I$31</c:f>
              <c:numCache>
                <c:formatCode>#,##0</c:formatCode>
                <c:ptCount val="11"/>
                <c:pt idx="0">
                  <c:v>161927</c:v>
                </c:pt>
                <c:pt idx="1">
                  <c:v>1250404.6499999999</c:v>
                </c:pt>
                <c:pt idx="2">
                  <c:v>2222048.17</c:v>
                </c:pt>
                <c:pt idx="3">
                  <c:v>3120698.94</c:v>
                </c:pt>
                <c:pt idx="4">
                  <c:v>4141240.82</c:v>
                </c:pt>
                <c:pt idx="5">
                  <c:v>4788211.0599999996</c:v>
                </c:pt>
                <c:pt idx="6">
                  <c:v>6506115.0699999994</c:v>
                </c:pt>
                <c:pt idx="7">
                  <c:v>7154259.3199999994</c:v>
                </c:pt>
                <c:pt idx="8">
                  <c:v>7868015.5699999994</c:v>
                </c:pt>
                <c:pt idx="9">
                  <c:v>8509271.5700000003</c:v>
                </c:pt>
                <c:pt idx="10">
                  <c:v>9145690.3200000003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CB-47E8-81E3-5D4A9B948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Sultana'!$B$83:$B$105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'SA Sultana'!$G$83:$G$105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162984</c:v>
                </c:pt>
                <c:pt idx="4">
                  <c:v>162984</c:v>
                </c:pt>
                <c:pt idx="5">
                  <c:v>165438</c:v>
                </c:pt>
                <c:pt idx="6">
                  <c:v>165438</c:v>
                </c:pt>
                <c:pt idx="7">
                  <c:v>165438</c:v>
                </c:pt>
                <c:pt idx="8">
                  <c:v>165438</c:v>
                </c:pt>
                <c:pt idx="9">
                  <c:v>165438</c:v>
                </c:pt>
                <c:pt idx="10">
                  <c:v>165438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9-4B9A-9084-C11D7D6E570F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Sultana'!$B$83:$B$105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'SA Sultana'!$I$83:$I$105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9-4B9A-9084-C11D7D6E5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Sultana'!$B$46:$B$68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'SA Sultana'!$G$46:$G$68</c:f>
              <c:numCache>
                <c:formatCode>#,##0</c:formatCode>
                <c:ptCount val="11"/>
                <c:pt idx="0">
                  <c:v>280686</c:v>
                </c:pt>
                <c:pt idx="1">
                  <c:v>941707.81</c:v>
                </c:pt>
                <c:pt idx="2">
                  <c:v>1545747.31</c:v>
                </c:pt>
                <c:pt idx="3">
                  <c:v>1865247.81</c:v>
                </c:pt>
                <c:pt idx="4">
                  <c:v>2170658.33</c:v>
                </c:pt>
                <c:pt idx="5">
                  <c:v>2317908.83</c:v>
                </c:pt>
                <c:pt idx="6">
                  <c:v>2829871.34</c:v>
                </c:pt>
                <c:pt idx="7">
                  <c:v>3099014.34</c:v>
                </c:pt>
                <c:pt idx="8">
                  <c:v>3473998.86</c:v>
                </c:pt>
                <c:pt idx="9">
                  <c:v>3723898.36</c:v>
                </c:pt>
                <c:pt idx="10">
                  <c:v>3766022.36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7-4132-AA4C-7080A2F4F18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Sultana'!$B$46:$B$68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'SA Sultana'!$I$46:$I$68</c:f>
              <c:numCache>
                <c:formatCode>#,##0</c:formatCode>
                <c:ptCount val="11"/>
                <c:pt idx="0">
                  <c:v>161927</c:v>
                </c:pt>
                <c:pt idx="1">
                  <c:v>1250404.6499999999</c:v>
                </c:pt>
                <c:pt idx="2">
                  <c:v>2222048.17</c:v>
                </c:pt>
                <c:pt idx="3">
                  <c:v>3120698.94</c:v>
                </c:pt>
                <c:pt idx="4">
                  <c:v>4141240.82</c:v>
                </c:pt>
                <c:pt idx="5">
                  <c:v>4786883.0599999996</c:v>
                </c:pt>
                <c:pt idx="6">
                  <c:v>6504685.5699999994</c:v>
                </c:pt>
                <c:pt idx="7">
                  <c:v>7152829.8199999994</c:v>
                </c:pt>
                <c:pt idx="8">
                  <c:v>7866586.0699999994</c:v>
                </c:pt>
                <c:pt idx="9">
                  <c:v>8505162.5700000003</c:v>
                </c:pt>
                <c:pt idx="10">
                  <c:v>9141581.3200000003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7-4132-AA4C-7080A2F4F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SA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'SA Sultana'!$B$120:$B$142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'SA Sultana'!$G$120:$G$142</c:f>
              <c:numCache>
                <c:formatCode>#,##0</c:formatCode>
                <c:ptCount val="11"/>
                <c:pt idx="0">
                  <c:v>537.5</c:v>
                </c:pt>
                <c:pt idx="1">
                  <c:v>1010</c:v>
                </c:pt>
                <c:pt idx="2">
                  <c:v>1010</c:v>
                </c:pt>
                <c:pt idx="3">
                  <c:v>1010</c:v>
                </c:pt>
                <c:pt idx="4">
                  <c:v>1010</c:v>
                </c:pt>
                <c:pt idx="5">
                  <c:v>2397.5</c:v>
                </c:pt>
                <c:pt idx="6">
                  <c:v>2397.5</c:v>
                </c:pt>
                <c:pt idx="7">
                  <c:v>4002.5</c:v>
                </c:pt>
                <c:pt idx="8">
                  <c:v>4002.5</c:v>
                </c:pt>
                <c:pt idx="9">
                  <c:v>4002.5</c:v>
                </c:pt>
                <c:pt idx="10">
                  <c:v>4002.5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7-4D4A-A1E7-A0C7B9F358A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'SA Sultana'!$B$120:$B$142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'SA Sultana'!$I$120:$I$142</c:f>
              <c:numCache>
                <c:formatCode>#,##0</c:formatCode>
                <c:ptCount val="11"/>
                <c:pt idx="0">
                  <c:v>0</c:v>
                </c:pt>
                <c:pt idx="1">
                  <c:v>1253</c:v>
                </c:pt>
                <c:pt idx="2">
                  <c:v>2679.5</c:v>
                </c:pt>
                <c:pt idx="3">
                  <c:v>2679.5</c:v>
                </c:pt>
                <c:pt idx="4">
                  <c:v>2679.5</c:v>
                </c:pt>
                <c:pt idx="5">
                  <c:v>4007.5</c:v>
                </c:pt>
                <c:pt idx="6">
                  <c:v>4109</c:v>
                </c:pt>
                <c:pt idx="7">
                  <c:v>4109</c:v>
                </c:pt>
                <c:pt idx="8">
                  <c:v>4109</c:v>
                </c:pt>
                <c:pt idx="9">
                  <c:v>4109</c:v>
                </c:pt>
                <c:pt idx="10">
                  <c:v>4109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7-4D4A-A1E7-A0C7B9F35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582343"/>
        <c:axId val="701605895"/>
      </c:lineChart>
      <c:catAx>
        <c:axId val="7015823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605895"/>
        <c:crosses val="autoZero"/>
        <c:auto val="1"/>
        <c:lblAlgn val="ctr"/>
        <c:lblOffset val="100"/>
        <c:noMultiLvlLbl val="0"/>
      </c:catAx>
      <c:valAx>
        <c:axId val="70160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7015823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Sultana'!$B$9:$B$31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'OR Sultana'!$G$9:$G$31</c:f>
              <c:numCache>
                <c:formatCode>#,##0</c:formatCode>
                <c:ptCount val="11"/>
                <c:pt idx="0">
                  <c:v>386194</c:v>
                </c:pt>
                <c:pt idx="1">
                  <c:v>858734.01</c:v>
                </c:pt>
                <c:pt idx="2">
                  <c:v>1376785.51</c:v>
                </c:pt>
                <c:pt idx="3">
                  <c:v>2108311.0300000003</c:v>
                </c:pt>
                <c:pt idx="4">
                  <c:v>2435792.5300000003</c:v>
                </c:pt>
                <c:pt idx="5">
                  <c:v>2593133.5300000003</c:v>
                </c:pt>
                <c:pt idx="6">
                  <c:v>3241137.0300000003</c:v>
                </c:pt>
                <c:pt idx="7">
                  <c:v>3426269.5300000003</c:v>
                </c:pt>
                <c:pt idx="8">
                  <c:v>3531664.0300000003</c:v>
                </c:pt>
                <c:pt idx="9">
                  <c:v>3560161.5300000003</c:v>
                </c:pt>
                <c:pt idx="10">
                  <c:v>3561056.5300000003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F-4739-82A0-FEE2131E8DF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Sultana'!$B$9:$B$31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'OR Sultana'!$I$9:$I$31</c:f>
              <c:numCache>
                <c:formatCode>#,##0</c:formatCode>
                <c:ptCount val="11"/>
                <c:pt idx="0">
                  <c:v>308184.25</c:v>
                </c:pt>
                <c:pt idx="1">
                  <c:v>878518.75</c:v>
                </c:pt>
                <c:pt idx="2">
                  <c:v>1227584.76</c:v>
                </c:pt>
                <c:pt idx="3">
                  <c:v>1756058.02</c:v>
                </c:pt>
                <c:pt idx="4">
                  <c:v>2055718.02</c:v>
                </c:pt>
                <c:pt idx="5">
                  <c:v>2315971.87</c:v>
                </c:pt>
                <c:pt idx="6">
                  <c:v>2812086.37</c:v>
                </c:pt>
                <c:pt idx="7">
                  <c:v>2960925.87</c:v>
                </c:pt>
                <c:pt idx="8">
                  <c:v>2990825.87</c:v>
                </c:pt>
                <c:pt idx="9">
                  <c:v>3057241.87</c:v>
                </c:pt>
                <c:pt idx="10">
                  <c:v>3057601.87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0F-4739-82A0-FEE2131E8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Sultana'!$B$120:$B$142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'OR Sultana'!$G$120:$G$142</c:f>
              <c:numCache>
                <c:formatCode>#,##0</c:formatCode>
                <c:ptCount val="11"/>
                <c:pt idx="0">
                  <c:v>10543</c:v>
                </c:pt>
                <c:pt idx="1">
                  <c:v>21611.5</c:v>
                </c:pt>
                <c:pt idx="2">
                  <c:v>21611.5</c:v>
                </c:pt>
                <c:pt idx="3">
                  <c:v>24735</c:v>
                </c:pt>
                <c:pt idx="4">
                  <c:v>24735</c:v>
                </c:pt>
                <c:pt idx="5">
                  <c:v>24735</c:v>
                </c:pt>
                <c:pt idx="6">
                  <c:v>24735</c:v>
                </c:pt>
                <c:pt idx="7">
                  <c:v>24735</c:v>
                </c:pt>
                <c:pt idx="8">
                  <c:v>24735</c:v>
                </c:pt>
                <c:pt idx="9">
                  <c:v>24735</c:v>
                </c:pt>
                <c:pt idx="10">
                  <c:v>24735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1-411D-B065-E8678EBA54B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Sultana'!$B$120:$B$142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'OR Sultana'!$I$120:$I$142</c:f>
              <c:numCache>
                <c:formatCode>#,##0</c:formatCode>
                <c:ptCount val="11"/>
                <c:pt idx="0">
                  <c:v>0</c:v>
                </c:pt>
                <c:pt idx="1">
                  <c:v>5891</c:v>
                </c:pt>
                <c:pt idx="2">
                  <c:v>5891</c:v>
                </c:pt>
                <c:pt idx="3">
                  <c:v>5891</c:v>
                </c:pt>
                <c:pt idx="4">
                  <c:v>5891</c:v>
                </c:pt>
                <c:pt idx="5">
                  <c:v>5891</c:v>
                </c:pt>
                <c:pt idx="6">
                  <c:v>5891</c:v>
                </c:pt>
                <c:pt idx="7">
                  <c:v>5891</c:v>
                </c:pt>
                <c:pt idx="8">
                  <c:v>5891</c:v>
                </c:pt>
                <c:pt idx="9">
                  <c:v>5891</c:v>
                </c:pt>
                <c:pt idx="10">
                  <c:v>5891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11-411D-B065-E8678EBA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the Olifants River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Raisins'!$B$83:$B$105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'Total Raisins'!$G$83:$G$105</c:f>
              <c:numCache>
                <c:formatCode>#,##0</c:formatCode>
                <c:ptCount val="11"/>
                <c:pt idx="0">
                  <c:v>0</c:v>
                </c:pt>
                <c:pt idx="1">
                  <c:v>596772.69999999995</c:v>
                </c:pt>
                <c:pt idx="2">
                  <c:v>1423805.8599999999</c:v>
                </c:pt>
                <c:pt idx="3">
                  <c:v>2838761.57</c:v>
                </c:pt>
                <c:pt idx="4">
                  <c:v>4016429.09</c:v>
                </c:pt>
                <c:pt idx="5">
                  <c:v>5353347.33</c:v>
                </c:pt>
                <c:pt idx="6">
                  <c:v>7378042.4100000001</c:v>
                </c:pt>
                <c:pt idx="7">
                  <c:v>9662086.0199999996</c:v>
                </c:pt>
                <c:pt idx="8">
                  <c:v>12193664.68</c:v>
                </c:pt>
                <c:pt idx="9">
                  <c:v>14257466.869999999</c:v>
                </c:pt>
                <c:pt idx="10">
                  <c:v>14677286.43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2-4D55-BE7F-DFF1107BC412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Raisins'!$B$83:$B$105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'Total Raisins'!$I$83:$I$105</c:f>
              <c:numCache>
                <c:formatCode>#,##0</c:formatCode>
                <c:ptCount val="11"/>
                <c:pt idx="0">
                  <c:v>0</c:v>
                </c:pt>
                <c:pt idx="1">
                  <c:v>361150.18</c:v>
                </c:pt>
                <c:pt idx="2">
                  <c:v>1143392.22</c:v>
                </c:pt>
                <c:pt idx="3">
                  <c:v>1999727.29</c:v>
                </c:pt>
                <c:pt idx="4">
                  <c:v>3755501.87</c:v>
                </c:pt>
                <c:pt idx="5">
                  <c:v>4810712.24</c:v>
                </c:pt>
                <c:pt idx="6">
                  <c:v>6730669.8799999999</c:v>
                </c:pt>
                <c:pt idx="7">
                  <c:v>8778584.4299999997</c:v>
                </c:pt>
                <c:pt idx="8">
                  <c:v>10861599.07</c:v>
                </c:pt>
                <c:pt idx="9">
                  <c:v>11989478.32</c:v>
                </c:pt>
                <c:pt idx="10">
                  <c:v>12685657.370000001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42-4D55-BE7F-DFF1107BC412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Raisins'!$B$83:$B$105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'Total Raisins'!$L$83:$L$105</c:f>
              <c:numCache>
                <c:formatCode>#,##0</c:formatCode>
                <c:ptCount val="11"/>
                <c:pt idx="0">
                  <c:v>228393.83666666667</c:v>
                </c:pt>
                <c:pt idx="1">
                  <c:v>871829.73</c:v>
                </c:pt>
                <c:pt idx="2">
                  <c:v>1619321.8266666669</c:v>
                </c:pt>
                <c:pt idx="3">
                  <c:v>2672104.02</c:v>
                </c:pt>
                <c:pt idx="4">
                  <c:v>3919888.7100000004</c:v>
                </c:pt>
                <c:pt idx="5">
                  <c:v>5417322.333333333</c:v>
                </c:pt>
                <c:pt idx="6">
                  <c:v>7094277.71</c:v>
                </c:pt>
                <c:pt idx="7">
                  <c:v>8698115.9000000004</c:v>
                </c:pt>
                <c:pt idx="8">
                  <c:v>10116833.779999999</c:v>
                </c:pt>
                <c:pt idx="9">
                  <c:v>10889248.359999999</c:v>
                </c:pt>
                <c:pt idx="10">
                  <c:v>11508886.210000001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42-4D55-BE7F-DFF1107BC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540424"/>
        <c:axId val="1453532680"/>
      </c:lineChart>
      <c:catAx>
        <c:axId val="1412540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53532680"/>
        <c:crosses val="autoZero"/>
        <c:auto val="1"/>
        <c:lblAlgn val="ctr"/>
        <c:lblOffset val="100"/>
        <c:noMultiLvlLbl val="0"/>
      </c:catAx>
      <c:valAx>
        <c:axId val="1453532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1254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Sultana'!$B$46:$B$68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'OR Sultana'!$G$46:$G$68</c:f>
              <c:numCache>
                <c:formatCode>#,##0</c:formatCode>
                <c:ptCount val="11"/>
                <c:pt idx="0">
                  <c:v>375651</c:v>
                </c:pt>
                <c:pt idx="1">
                  <c:v>837122.51</c:v>
                </c:pt>
                <c:pt idx="2">
                  <c:v>1355174.01</c:v>
                </c:pt>
                <c:pt idx="3">
                  <c:v>2080391.53</c:v>
                </c:pt>
                <c:pt idx="4">
                  <c:v>2407873.0300000003</c:v>
                </c:pt>
                <c:pt idx="5">
                  <c:v>2565214.0300000003</c:v>
                </c:pt>
                <c:pt idx="6">
                  <c:v>3213217.5300000003</c:v>
                </c:pt>
                <c:pt idx="7">
                  <c:v>3398350.0300000003</c:v>
                </c:pt>
                <c:pt idx="8">
                  <c:v>3503744.5300000003</c:v>
                </c:pt>
                <c:pt idx="9">
                  <c:v>3532242.0300000003</c:v>
                </c:pt>
                <c:pt idx="10">
                  <c:v>3533137.0300000003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2-4A9B-80EF-AAA3EA1604A8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Sultana'!$B$46:$B$68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'OR Sultana'!$I$46:$I$68</c:f>
              <c:numCache>
                <c:formatCode>#,##0</c:formatCode>
                <c:ptCount val="11"/>
                <c:pt idx="0">
                  <c:v>308184.25</c:v>
                </c:pt>
                <c:pt idx="1">
                  <c:v>872627.75</c:v>
                </c:pt>
                <c:pt idx="2">
                  <c:v>1221693.76</c:v>
                </c:pt>
                <c:pt idx="3">
                  <c:v>1750167.02</c:v>
                </c:pt>
                <c:pt idx="4">
                  <c:v>2049827.02</c:v>
                </c:pt>
                <c:pt idx="5">
                  <c:v>2310080.87</c:v>
                </c:pt>
                <c:pt idx="6">
                  <c:v>2806195.37</c:v>
                </c:pt>
                <c:pt idx="7">
                  <c:v>2955034.87</c:v>
                </c:pt>
                <c:pt idx="8">
                  <c:v>2984934.87</c:v>
                </c:pt>
                <c:pt idx="9">
                  <c:v>3051350.87</c:v>
                </c:pt>
                <c:pt idx="10">
                  <c:v>3051710.87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2-4A9B-80EF-AAA3EA160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OR Sultana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'OR Sultana'!$B$83:$B$105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'OR Sultana'!$G$83:$G$105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3184.5</c:v>
                </c:pt>
                <c:pt idx="4">
                  <c:v>3184.5</c:v>
                </c:pt>
                <c:pt idx="5">
                  <c:v>3184.5</c:v>
                </c:pt>
                <c:pt idx="6">
                  <c:v>3184.5</c:v>
                </c:pt>
                <c:pt idx="7">
                  <c:v>3184.5</c:v>
                </c:pt>
                <c:pt idx="8">
                  <c:v>3184.5</c:v>
                </c:pt>
                <c:pt idx="9">
                  <c:v>3184.5</c:v>
                </c:pt>
                <c:pt idx="10">
                  <c:v>3184.5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F-4AE2-A700-C8D547B2A229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'OR Sultana'!$B$83:$B$105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'OR Sultana'!$I$83:$I$105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F-4AE2-A700-C8D547B2A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995144"/>
        <c:axId val="315997192"/>
      </c:lineChart>
      <c:catAx>
        <c:axId val="315995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7192"/>
        <c:crosses val="autoZero"/>
        <c:auto val="1"/>
        <c:lblAlgn val="ctr"/>
        <c:lblOffset val="100"/>
        <c:noMultiLvlLbl val="0"/>
      </c:catAx>
      <c:valAx>
        <c:axId val="315997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315995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Goldens!$B$9:$B$31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Goldens!$G$9:$G$31</c:f>
              <c:numCache>
                <c:formatCode>#,##0</c:formatCode>
                <c:ptCount val="11"/>
                <c:pt idx="0">
                  <c:v>116966.7</c:v>
                </c:pt>
                <c:pt idx="1">
                  <c:v>282296.73</c:v>
                </c:pt>
                <c:pt idx="2">
                  <c:v>1178999.25</c:v>
                </c:pt>
                <c:pt idx="3">
                  <c:v>2149364.34</c:v>
                </c:pt>
                <c:pt idx="4">
                  <c:v>3240770.3499999996</c:v>
                </c:pt>
                <c:pt idx="5">
                  <c:v>4104068.3599999994</c:v>
                </c:pt>
                <c:pt idx="6">
                  <c:v>5508406.879999999</c:v>
                </c:pt>
                <c:pt idx="7">
                  <c:v>7927122.3999999985</c:v>
                </c:pt>
                <c:pt idx="8">
                  <c:v>10512370.949999999</c:v>
                </c:pt>
                <c:pt idx="9">
                  <c:v>11962636</c:v>
                </c:pt>
                <c:pt idx="10">
                  <c:v>12256476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A-4D43-80A4-7D3ED79AEDF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Goldens!$B$9:$B$31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Goldens!$I$9:$I$31</c:f>
              <c:numCache>
                <c:formatCode>#,##0</c:formatCode>
                <c:ptCount val="11"/>
                <c:pt idx="0">
                  <c:v>40107</c:v>
                </c:pt>
                <c:pt idx="1">
                  <c:v>439278.14</c:v>
                </c:pt>
                <c:pt idx="2">
                  <c:v>815317.17</c:v>
                </c:pt>
                <c:pt idx="3">
                  <c:v>1534086.94</c:v>
                </c:pt>
                <c:pt idx="4">
                  <c:v>2474675.7200000002</c:v>
                </c:pt>
                <c:pt idx="5">
                  <c:v>4005342.79</c:v>
                </c:pt>
                <c:pt idx="6">
                  <c:v>5842640.4100000001</c:v>
                </c:pt>
                <c:pt idx="7">
                  <c:v>6971679.6600000001</c:v>
                </c:pt>
                <c:pt idx="8">
                  <c:v>7754546.1699999999</c:v>
                </c:pt>
                <c:pt idx="9">
                  <c:v>8422839.4199999999</c:v>
                </c:pt>
                <c:pt idx="10">
                  <c:v>9718053.9199999999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AA-4D43-80A4-7D3ED79AE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Goldens!$B$46:$B$68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Goldens!$G$46:$G$68</c:f>
              <c:numCache>
                <c:formatCode>#,##0</c:formatCode>
                <c:ptCount val="11"/>
                <c:pt idx="0">
                  <c:v>85624.69</c:v>
                </c:pt>
                <c:pt idx="1">
                  <c:v>187556.69</c:v>
                </c:pt>
                <c:pt idx="2">
                  <c:v>983795.69</c:v>
                </c:pt>
                <c:pt idx="3">
                  <c:v>1828142.2</c:v>
                </c:pt>
                <c:pt idx="4">
                  <c:v>2844069.7</c:v>
                </c:pt>
                <c:pt idx="5">
                  <c:v>3584545.7</c:v>
                </c:pt>
                <c:pt idx="6">
                  <c:v>4960555.2200000007</c:v>
                </c:pt>
                <c:pt idx="7">
                  <c:v>7281696.2200000007</c:v>
                </c:pt>
                <c:pt idx="8">
                  <c:v>9863167.2600000016</c:v>
                </c:pt>
                <c:pt idx="9">
                  <c:v>11311368.310000002</c:v>
                </c:pt>
                <c:pt idx="10">
                  <c:v>11597384.310000002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9-43DB-90D1-4E34F9001532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Goldens!$B$46:$B$68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Goldens!$I$46:$I$68</c:f>
              <c:numCache>
                <c:formatCode>#,##0</c:formatCode>
                <c:ptCount val="11"/>
                <c:pt idx="0">
                  <c:v>40107</c:v>
                </c:pt>
                <c:pt idx="1">
                  <c:v>304859.64</c:v>
                </c:pt>
                <c:pt idx="2">
                  <c:v>631337.64</c:v>
                </c:pt>
                <c:pt idx="3">
                  <c:v>1274332.3999999999</c:v>
                </c:pt>
                <c:pt idx="4">
                  <c:v>2115165.65</c:v>
                </c:pt>
                <c:pt idx="5">
                  <c:v>3552493.2199999997</c:v>
                </c:pt>
                <c:pt idx="6">
                  <c:v>5281532.34</c:v>
                </c:pt>
                <c:pt idx="7">
                  <c:v>6402161.5899999999</c:v>
                </c:pt>
                <c:pt idx="8">
                  <c:v>7177837.0999999996</c:v>
                </c:pt>
                <c:pt idx="9">
                  <c:v>7846130.3499999996</c:v>
                </c:pt>
                <c:pt idx="10">
                  <c:v>9141344.8499999996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9-43DB-90D1-4E34F9001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Goldens!$B$83:$B$105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13</c:v>
                </c:pt>
                <c:pt idx="11">
                  <c:v>14</c:v>
                </c:pt>
              </c:numCache>
            </c:numRef>
          </c:cat>
          <c:val>
            <c:numRef>
              <c:f>Goldens!$G$83:$G$105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2064</c:v>
                </c:pt>
                <c:pt idx="10">
                  <c:v>4128</c:v>
                </c:pt>
                <c:pt idx="11">
                  <c:v>5867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E-4433-B63A-0D854F38DAB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Goldens!$B$83:$B$105</c:f>
              <c:numCache>
                <c:formatCode>General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13</c:v>
                </c:pt>
                <c:pt idx="11">
                  <c:v>14</c:v>
                </c:pt>
              </c:numCache>
            </c:numRef>
          </c:cat>
          <c:val>
            <c:numRef>
              <c:f>Goldens!$I$83:$I$105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E-4433-B63A-0D854F38D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Goldens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Goldens!$B$120:$B$142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Goldens!$G$120:$G$142</c:f>
              <c:numCache>
                <c:formatCode>#,##0</c:formatCode>
                <c:ptCount val="11"/>
                <c:pt idx="0">
                  <c:v>31342.01</c:v>
                </c:pt>
                <c:pt idx="1">
                  <c:v>94740.04</c:v>
                </c:pt>
                <c:pt idx="2">
                  <c:v>195203.56</c:v>
                </c:pt>
                <c:pt idx="3">
                  <c:v>321222.14</c:v>
                </c:pt>
                <c:pt idx="4">
                  <c:v>396700.65</c:v>
                </c:pt>
                <c:pt idx="5">
                  <c:v>519522.66000000003</c:v>
                </c:pt>
                <c:pt idx="6">
                  <c:v>547851.66</c:v>
                </c:pt>
                <c:pt idx="7">
                  <c:v>645426.18000000005</c:v>
                </c:pt>
                <c:pt idx="8">
                  <c:v>649203.69000000006</c:v>
                </c:pt>
                <c:pt idx="9">
                  <c:v>649203.69000000006</c:v>
                </c:pt>
                <c:pt idx="10">
                  <c:v>655288.69000000006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A-4840-9646-549D2A1156E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Goldens!$B$120:$B$142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Goldens!$I$120:$I$142</c:f>
              <c:numCache>
                <c:formatCode>#,##0</c:formatCode>
                <c:ptCount val="11"/>
                <c:pt idx="0">
                  <c:v>0</c:v>
                </c:pt>
                <c:pt idx="1">
                  <c:v>134418.5</c:v>
                </c:pt>
                <c:pt idx="2">
                  <c:v>183979.53</c:v>
                </c:pt>
                <c:pt idx="3">
                  <c:v>259754.53999999998</c:v>
                </c:pt>
                <c:pt idx="4">
                  <c:v>359510.07</c:v>
                </c:pt>
                <c:pt idx="5">
                  <c:v>452849.57</c:v>
                </c:pt>
                <c:pt idx="6">
                  <c:v>561108.07000000007</c:v>
                </c:pt>
                <c:pt idx="7">
                  <c:v>569518.07000000007</c:v>
                </c:pt>
                <c:pt idx="8">
                  <c:v>576709.07000000007</c:v>
                </c:pt>
                <c:pt idx="9">
                  <c:v>576709.06999999995</c:v>
                </c:pt>
                <c:pt idx="10">
                  <c:v>576709.06999999995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A-4840-9646-549D2A115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3798791"/>
        <c:axId val="983800839"/>
      </c:lineChart>
      <c:catAx>
        <c:axId val="98379879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800839"/>
        <c:crosses val="autoZero"/>
        <c:auto val="1"/>
        <c:lblAlgn val="ctr"/>
        <c:lblOffset val="100"/>
        <c:noMultiLvlLbl val="0"/>
      </c:catAx>
      <c:valAx>
        <c:axId val="983800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983798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Currants!$B$9:$B$31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Currants!$G$9:$G$31</c:f>
              <c:numCache>
                <c:formatCode>#,##0</c:formatCode>
                <c:ptCount val="11"/>
                <c:pt idx="0">
                  <c:v>0</c:v>
                </c:pt>
                <c:pt idx="1">
                  <c:v>245586</c:v>
                </c:pt>
                <c:pt idx="2">
                  <c:v>558421.9</c:v>
                </c:pt>
                <c:pt idx="3">
                  <c:v>1084522.8999999999</c:v>
                </c:pt>
                <c:pt idx="4">
                  <c:v>1565301.9</c:v>
                </c:pt>
                <c:pt idx="5">
                  <c:v>1795828.9</c:v>
                </c:pt>
                <c:pt idx="6">
                  <c:v>2237182.9</c:v>
                </c:pt>
                <c:pt idx="7">
                  <c:v>2637525.4</c:v>
                </c:pt>
                <c:pt idx="8">
                  <c:v>2909759.4</c:v>
                </c:pt>
                <c:pt idx="9">
                  <c:v>3052902.3999999999</c:v>
                </c:pt>
                <c:pt idx="10">
                  <c:v>3132523.4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5-476D-99F0-9B9578E21436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Currants!$B$9:$B$31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Currants!$I$9:$I$31</c:f>
              <c:numCache>
                <c:formatCode>#,##0</c:formatCode>
                <c:ptCount val="11"/>
                <c:pt idx="0">
                  <c:v>0</c:v>
                </c:pt>
                <c:pt idx="1">
                  <c:v>51054</c:v>
                </c:pt>
                <c:pt idx="2">
                  <c:v>426083.5</c:v>
                </c:pt>
                <c:pt idx="3">
                  <c:v>772875</c:v>
                </c:pt>
                <c:pt idx="4">
                  <c:v>1340841</c:v>
                </c:pt>
                <c:pt idx="5">
                  <c:v>1599211</c:v>
                </c:pt>
                <c:pt idx="6">
                  <c:v>2174936.5</c:v>
                </c:pt>
                <c:pt idx="7">
                  <c:v>2799128</c:v>
                </c:pt>
                <c:pt idx="8">
                  <c:v>3248883.5</c:v>
                </c:pt>
                <c:pt idx="9">
                  <c:v>3528969</c:v>
                </c:pt>
                <c:pt idx="10">
                  <c:v>3658947.5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15-476D-99F0-9B9578E21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Currants!$B$46:$B$68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Currants!$G$46:$G$68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15249.4</c:v>
                </c:pt>
                <c:pt idx="3">
                  <c:v>15249.4</c:v>
                </c:pt>
                <c:pt idx="4">
                  <c:v>15249.4</c:v>
                </c:pt>
                <c:pt idx="5">
                  <c:v>32805.9</c:v>
                </c:pt>
                <c:pt idx="6">
                  <c:v>32805.9</c:v>
                </c:pt>
                <c:pt idx="7">
                  <c:v>32805.9</c:v>
                </c:pt>
                <c:pt idx="8">
                  <c:v>32805.9</c:v>
                </c:pt>
                <c:pt idx="9">
                  <c:v>32805.9</c:v>
                </c:pt>
                <c:pt idx="10">
                  <c:v>32805.9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5-4A9E-B1CB-D4B7B341F10D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Currants!$B$46:$B$68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Currants!$I$46:$I$68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5-4A9E-B1CB-D4B7B341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Currants!$B$83:$B$105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Currants!$G$83:$G$105</c:f>
              <c:numCache>
                <c:formatCode>#,##0</c:formatCode>
                <c:ptCount val="11"/>
                <c:pt idx="0">
                  <c:v>0</c:v>
                </c:pt>
                <c:pt idx="1">
                  <c:v>245586</c:v>
                </c:pt>
                <c:pt idx="2">
                  <c:v>543172.5</c:v>
                </c:pt>
                <c:pt idx="3">
                  <c:v>1069273.5</c:v>
                </c:pt>
                <c:pt idx="4">
                  <c:v>1550052.5</c:v>
                </c:pt>
                <c:pt idx="5">
                  <c:v>1763023</c:v>
                </c:pt>
                <c:pt idx="6">
                  <c:v>2204377</c:v>
                </c:pt>
                <c:pt idx="7">
                  <c:v>2604719.5</c:v>
                </c:pt>
                <c:pt idx="8">
                  <c:v>2876953.5</c:v>
                </c:pt>
                <c:pt idx="9">
                  <c:v>3020096.5</c:v>
                </c:pt>
                <c:pt idx="10">
                  <c:v>3099717.5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C-4FA2-9F35-1B18B34C779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Currants!$B$83:$B$105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Currants!$I$83:$I$105</c:f>
              <c:numCache>
                <c:formatCode>#,##0</c:formatCode>
                <c:ptCount val="11"/>
                <c:pt idx="0">
                  <c:v>0</c:v>
                </c:pt>
                <c:pt idx="1">
                  <c:v>51054</c:v>
                </c:pt>
                <c:pt idx="2">
                  <c:v>426083.5</c:v>
                </c:pt>
                <c:pt idx="3">
                  <c:v>772875</c:v>
                </c:pt>
                <c:pt idx="4">
                  <c:v>1340841</c:v>
                </c:pt>
                <c:pt idx="5">
                  <c:v>1599211</c:v>
                </c:pt>
                <c:pt idx="6">
                  <c:v>2174936.5</c:v>
                </c:pt>
                <c:pt idx="7">
                  <c:v>2799128</c:v>
                </c:pt>
                <c:pt idx="8">
                  <c:v>3248883.5</c:v>
                </c:pt>
                <c:pt idx="9">
                  <c:v>3528969</c:v>
                </c:pt>
                <c:pt idx="10">
                  <c:v>3658947.5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C-4FA2-9F35-1B18B34C7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Currant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Currants!$B$120:$B$142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Currants!$G$120:$G$142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C-4611-BAC6-6CBAE6926E9F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Currants!$B$120:$B$142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Currants!$I$120:$I$142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C-4611-BAC6-6CBAE6926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6059911"/>
        <c:axId val="1576061959"/>
      </c:lineChart>
      <c:catAx>
        <c:axId val="1576059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61959"/>
        <c:crosses val="autoZero"/>
        <c:auto val="1"/>
        <c:lblAlgn val="ctr"/>
        <c:lblOffset val="100"/>
        <c:noMultiLvlLbl val="0"/>
      </c:catAx>
      <c:valAx>
        <c:axId val="1576061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576059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Namibia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Raisins'!$B$120:$B$124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'Total Raisins'!$G$120:$G$124</c:f>
              <c:numCache>
                <c:formatCode>#,##0</c:formatCode>
                <c:ptCount val="5"/>
                <c:pt idx="0">
                  <c:v>195414.01</c:v>
                </c:pt>
                <c:pt idx="1">
                  <c:v>409288.71</c:v>
                </c:pt>
                <c:pt idx="2">
                  <c:v>654558.93000000005</c:v>
                </c:pt>
                <c:pt idx="3">
                  <c:v>854143.59000000008</c:v>
                </c:pt>
                <c:pt idx="4">
                  <c:v>1180899.52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6-4922-88F9-437B644D7851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Raisins'!$B$120:$B$124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'Total Raisins'!$I$120:$I$124</c:f>
              <c:numCache>
                <c:formatCode>#,##0</c:formatCode>
                <c:ptCount val="5"/>
                <c:pt idx="0">
                  <c:v>0</c:v>
                </c:pt>
                <c:pt idx="1">
                  <c:v>588125.4</c:v>
                </c:pt>
                <c:pt idx="2">
                  <c:v>843638.19000000006</c:v>
                </c:pt>
                <c:pt idx="3">
                  <c:v>1038226.76</c:v>
                </c:pt>
                <c:pt idx="4">
                  <c:v>1216717.8999999999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16-4922-88F9-437B644D7851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Raisins'!$B$120:$B$124</c:f>
              <c:numCache>
                <c:formatCode>General</c:formatCode>
                <c:ptCount val="5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cat>
          <c:val>
            <c:numRef>
              <c:f>'Total Raisins'!$L$120:$L$124</c:f>
              <c:numCache>
                <c:formatCode>#,##0</c:formatCode>
                <c:ptCount val="5"/>
                <c:pt idx="0">
                  <c:v>155719.34</c:v>
                </c:pt>
                <c:pt idx="1">
                  <c:v>549067.80666666664</c:v>
                </c:pt>
                <c:pt idx="2">
                  <c:v>782067.57</c:v>
                </c:pt>
                <c:pt idx="3">
                  <c:v>965953.92666666664</c:v>
                </c:pt>
                <c:pt idx="4">
                  <c:v>1279316.6433333333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16-4922-88F9-437B644D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429512"/>
        <c:axId val="617472520"/>
      </c:lineChart>
      <c:catAx>
        <c:axId val="617429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617472520"/>
        <c:crosses val="autoZero"/>
        <c:auto val="1"/>
        <c:lblAlgn val="ctr"/>
        <c:lblOffset val="100"/>
        <c:noMultiLvlLbl val="0"/>
      </c:catAx>
      <c:valAx>
        <c:axId val="617472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61742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Other!$B$9:$B$31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Other!$G$9:$G$31</c:f>
              <c:numCache>
                <c:formatCode>#,##0</c:formatCode>
                <c:ptCount val="11"/>
                <c:pt idx="0">
                  <c:v>180929.31</c:v>
                </c:pt>
                <c:pt idx="1">
                  <c:v>274185.24</c:v>
                </c:pt>
                <c:pt idx="2">
                  <c:v>516844.78</c:v>
                </c:pt>
                <c:pt idx="3">
                  <c:v>687315.3</c:v>
                </c:pt>
                <c:pt idx="4">
                  <c:v>899755.85000000009</c:v>
                </c:pt>
                <c:pt idx="5">
                  <c:v>966577.3600000001</c:v>
                </c:pt>
                <c:pt idx="6">
                  <c:v>1265272.3600000001</c:v>
                </c:pt>
                <c:pt idx="7">
                  <c:v>1431853.8800000001</c:v>
                </c:pt>
                <c:pt idx="8">
                  <c:v>1631630.3800000001</c:v>
                </c:pt>
                <c:pt idx="9">
                  <c:v>1860562.3800000001</c:v>
                </c:pt>
                <c:pt idx="10">
                  <c:v>1904928.8900000001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CB-42D3-8E00-80A97CBD35C5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Other!$B$9:$B$31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Other!$I$9:$I$31</c:f>
              <c:numCache>
                <c:formatCode>#,##0</c:formatCode>
                <c:ptCount val="11"/>
                <c:pt idx="0">
                  <c:v>31440</c:v>
                </c:pt>
                <c:pt idx="1">
                  <c:v>507731.97</c:v>
                </c:pt>
                <c:pt idx="2">
                  <c:v>660698.11</c:v>
                </c:pt>
                <c:pt idx="3">
                  <c:v>860160.66999999993</c:v>
                </c:pt>
                <c:pt idx="4">
                  <c:v>1006021.8</c:v>
                </c:pt>
                <c:pt idx="5">
                  <c:v>1297364.9300000002</c:v>
                </c:pt>
                <c:pt idx="6">
                  <c:v>1499872.5500000003</c:v>
                </c:pt>
                <c:pt idx="7">
                  <c:v>1716818.1000000003</c:v>
                </c:pt>
                <c:pt idx="8">
                  <c:v>2043468.3100000003</c:v>
                </c:pt>
                <c:pt idx="9">
                  <c:v>2132464.81</c:v>
                </c:pt>
                <c:pt idx="10">
                  <c:v>2257298.86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CB-42D3-8E00-80A97CBD3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Other!$B$46:$B$68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Other!$G$46:$G$68</c:f>
              <c:numCache>
                <c:formatCode>#,##0</c:formatCode>
                <c:ptCount val="11"/>
                <c:pt idx="0">
                  <c:v>178440.81</c:v>
                </c:pt>
                <c:pt idx="1">
                  <c:v>250181.21</c:v>
                </c:pt>
                <c:pt idx="2">
                  <c:v>483532.20999999996</c:v>
                </c:pt>
                <c:pt idx="3">
                  <c:v>648837.71</c:v>
                </c:pt>
                <c:pt idx="4">
                  <c:v>852505.71</c:v>
                </c:pt>
                <c:pt idx="5">
                  <c:v>917787.71</c:v>
                </c:pt>
                <c:pt idx="6">
                  <c:v>1196015.21</c:v>
                </c:pt>
                <c:pt idx="7">
                  <c:v>1357521.72</c:v>
                </c:pt>
                <c:pt idx="8">
                  <c:v>1517667.22</c:v>
                </c:pt>
                <c:pt idx="9">
                  <c:v>1722112.72</c:v>
                </c:pt>
                <c:pt idx="10">
                  <c:v>1762379.23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6-41B3-BCB7-1AB83283A13A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Other!$B$46:$B$68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Other!$I$46:$I$68</c:f>
              <c:numCache>
                <c:formatCode>#,##0</c:formatCode>
                <c:ptCount val="11"/>
                <c:pt idx="0">
                  <c:v>31440</c:v>
                </c:pt>
                <c:pt idx="1">
                  <c:v>200826.76</c:v>
                </c:pt>
                <c:pt idx="2">
                  <c:v>256266.26</c:v>
                </c:pt>
                <c:pt idx="3">
                  <c:v>369572.26</c:v>
                </c:pt>
                <c:pt idx="4">
                  <c:v>430731.77</c:v>
                </c:pt>
                <c:pt idx="5">
                  <c:v>630087.79</c:v>
                </c:pt>
                <c:pt idx="6">
                  <c:v>789079.29</c:v>
                </c:pt>
                <c:pt idx="7">
                  <c:v>944600.8</c:v>
                </c:pt>
                <c:pt idx="8">
                  <c:v>1121729.8400000001</c:v>
                </c:pt>
                <c:pt idx="9">
                  <c:v>1204732.3400000001</c:v>
                </c:pt>
                <c:pt idx="10">
                  <c:v>1286608.8400000001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6-41B3-BCB7-1AB83283A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Other!$B$83:$B$105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Other!$G$83:$G$105</c:f>
              <c:numCache>
                <c:formatCode>#,##0</c:formatCode>
                <c:ptCount val="11"/>
                <c:pt idx="0">
                  <c:v>0</c:v>
                </c:pt>
                <c:pt idx="1">
                  <c:v>9008.51</c:v>
                </c:pt>
                <c:pt idx="2">
                  <c:v>13194.53</c:v>
                </c:pt>
                <c:pt idx="3">
                  <c:v>17971.050000000003</c:v>
                </c:pt>
                <c:pt idx="4">
                  <c:v>17971.050000000003</c:v>
                </c:pt>
                <c:pt idx="5">
                  <c:v>17971.050000000003</c:v>
                </c:pt>
                <c:pt idx="6">
                  <c:v>34066.050000000003</c:v>
                </c:pt>
                <c:pt idx="7">
                  <c:v>36808.050000000003</c:v>
                </c:pt>
                <c:pt idx="8">
                  <c:v>76439.05</c:v>
                </c:pt>
                <c:pt idx="9">
                  <c:v>100925.55</c:v>
                </c:pt>
                <c:pt idx="10">
                  <c:v>105025.55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9-446D-9948-3B94FDD3A49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Other!$B$83:$B$105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Other!$I$83:$I$105</c:f>
              <c:numCache>
                <c:formatCode>#,##0</c:formatCode>
                <c:ptCount val="11"/>
                <c:pt idx="0">
                  <c:v>0</c:v>
                </c:pt>
                <c:pt idx="1">
                  <c:v>222139.57</c:v>
                </c:pt>
                <c:pt idx="2">
                  <c:v>250966.09</c:v>
                </c:pt>
                <c:pt idx="3">
                  <c:v>305291.63</c:v>
                </c:pt>
                <c:pt idx="4">
                  <c:v>337703.17</c:v>
                </c:pt>
                <c:pt idx="5">
                  <c:v>386190.22</c:v>
                </c:pt>
                <c:pt idx="6">
                  <c:v>410059.79</c:v>
                </c:pt>
                <c:pt idx="7">
                  <c:v>445060.81</c:v>
                </c:pt>
                <c:pt idx="8">
                  <c:v>501924.88</c:v>
                </c:pt>
                <c:pt idx="9">
                  <c:v>507918.88</c:v>
                </c:pt>
                <c:pt idx="10">
                  <c:v>550876.43000000005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9-446D-9948-3B94FDD3A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</a:t>
            </a:r>
            <a:r>
              <a:rPr lang="en-US" baseline="0"/>
              <a:t> </a:t>
            </a:r>
            <a:r>
              <a:rPr lang="en-US"/>
              <a:t>Weekly intakes of Other Types of Raisins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Other!$B$120:$B$142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Other!$G$120:$G$142</c:f>
              <c:numCache>
                <c:formatCode>#,##0</c:formatCode>
                <c:ptCount val="11"/>
                <c:pt idx="0">
                  <c:v>2488.5</c:v>
                </c:pt>
                <c:pt idx="1">
                  <c:v>14995.52</c:v>
                </c:pt>
                <c:pt idx="2">
                  <c:v>20118.04</c:v>
                </c:pt>
                <c:pt idx="3">
                  <c:v>20506.54</c:v>
                </c:pt>
                <c:pt idx="4">
                  <c:v>29279.09</c:v>
                </c:pt>
                <c:pt idx="5">
                  <c:v>30818.6</c:v>
                </c:pt>
                <c:pt idx="6">
                  <c:v>35191.1</c:v>
                </c:pt>
                <c:pt idx="7">
                  <c:v>37524.11</c:v>
                </c:pt>
                <c:pt idx="8">
                  <c:v>37524.11</c:v>
                </c:pt>
                <c:pt idx="9">
                  <c:v>37524.11</c:v>
                </c:pt>
                <c:pt idx="10">
                  <c:v>37524.11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1-444B-ADDF-7EA882FED16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Other!$B$120:$B$142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Other!$I$120:$I$142</c:f>
              <c:numCache>
                <c:formatCode>#,##0</c:formatCode>
                <c:ptCount val="11"/>
                <c:pt idx="0">
                  <c:v>0</c:v>
                </c:pt>
                <c:pt idx="1">
                  <c:v>84765.64</c:v>
                </c:pt>
                <c:pt idx="2">
                  <c:v>153465.76</c:v>
                </c:pt>
                <c:pt idx="3">
                  <c:v>185296.78</c:v>
                </c:pt>
                <c:pt idx="4">
                  <c:v>237586.86</c:v>
                </c:pt>
                <c:pt idx="5">
                  <c:v>281086.92</c:v>
                </c:pt>
                <c:pt idx="6">
                  <c:v>300733.46999999997</c:v>
                </c:pt>
                <c:pt idx="7">
                  <c:v>327156.49</c:v>
                </c:pt>
                <c:pt idx="8">
                  <c:v>419813.58999999997</c:v>
                </c:pt>
                <c:pt idx="9">
                  <c:v>419813.59</c:v>
                </c:pt>
                <c:pt idx="10">
                  <c:v>419813.59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1-444B-ADDF-7EA882FED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648648"/>
        <c:axId val="561650696"/>
      </c:lineChart>
      <c:catAx>
        <c:axId val="5616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50696"/>
        <c:crosses val="autoZero"/>
        <c:auto val="1"/>
        <c:lblAlgn val="ctr"/>
        <c:lblOffset val="100"/>
        <c:noMultiLvlLbl val="0"/>
      </c:catAx>
      <c:valAx>
        <c:axId val="56165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5616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for the Namibia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Raisins'!$B$120:$B$142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'Total Raisins'!$G$120:$G$142</c:f>
              <c:numCache>
                <c:formatCode>#,##0</c:formatCode>
                <c:ptCount val="11"/>
                <c:pt idx="0">
                  <c:v>195414.01</c:v>
                </c:pt>
                <c:pt idx="1">
                  <c:v>409288.71</c:v>
                </c:pt>
                <c:pt idx="2">
                  <c:v>654558.93000000005</c:v>
                </c:pt>
                <c:pt idx="3">
                  <c:v>854143.59000000008</c:v>
                </c:pt>
                <c:pt idx="4">
                  <c:v>1180899.52</c:v>
                </c:pt>
                <c:pt idx="5">
                  <c:v>1469284.19</c:v>
                </c:pt>
                <c:pt idx="6">
                  <c:v>1549587.31</c:v>
                </c:pt>
                <c:pt idx="7">
                  <c:v>1777331.48</c:v>
                </c:pt>
                <c:pt idx="8">
                  <c:v>1830080.48</c:v>
                </c:pt>
                <c:pt idx="9">
                  <c:v>1877698.45</c:v>
                </c:pt>
                <c:pt idx="10">
                  <c:v>1954121.99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8-476B-AB10-243FD57246F4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Raisins'!$B$120:$B$142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'Total Raisins'!$I$120:$I$142</c:f>
              <c:numCache>
                <c:formatCode>#,##0</c:formatCode>
                <c:ptCount val="11"/>
                <c:pt idx="0">
                  <c:v>0</c:v>
                </c:pt>
                <c:pt idx="1">
                  <c:v>588125.4</c:v>
                </c:pt>
                <c:pt idx="2">
                  <c:v>843638.19000000006</c:v>
                </c:pt>
                <c:pt idx="3">
                  <c:v>1038226.76</c:v>
                </c:pt>
                <c:pt idx="4">
                  <c:v>1216717.8999999999</c:v>
                </c:pt>
                <c:pt idx="5">
                  <c:v>1481415.51</c:v>
                </c:pt>
                <c:pt idx="6">
                  <c:v>1664097.1</c:v>
                </c:pt>
                <c:pt idx="7">
                  <c:v>1725971.1300000001</c:v>
                </c:pt>
                <c:pt idx="8">
                  <c:v>1915607.8</c:v>
                </c:pt>
                <c:pt idx="9">
                  <c:v>1915608</c:v>
                </c:pt>
                <c:pt idx="10">
                  <c:v>1915608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8-476B-AB10-243FD57246F4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Raisins'!$B$120:$B$142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'Total Raisins'!$L$120:$L$142</c:f>
              <c:numCache>
                <c:formatCode>#,##0</c:formatCode>
                <c:ptCount val="11"/>
                <c:pt idx="0">
                  <c:v>155719.34</c:v>
                </c:pt>
                <c:pt idx="1">
                  <c:v>549067.80666666664</c:v>
                </c:pt>
                <c:pt idx="2">
                  <c:v>782067.57</c:v>
                </c:pt>
                <c:pt idx="3">
                  <c:v>965953.92666666664</c:v>
                </c:pt>
                <c:pt idx="4">
                  <c:v>1279316.6433333333</c:v>
                </c:pt>
                <c:pt idx="5">
                  <c:v>1497261.0133333334</c:v>
                </c:pt>
                <c:pt idx="6">
                  <c:v>1718704.72</c:v>
                </c:pt>
                <c:pt idx="7">
                  <c:v>1906831.4</c:v>
                </c:pt>
                <c:pt idx="8">
                  <c:v>2139161.16</c:v>
                </c:pt>
                <c:pt idx="9">
                  <c:v>2245436.1</c:v>
                </c:pt>
                <c:pt idx="10">
                  <c:v>2310961.27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58-476B-AB10-243FD5724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540424"/>
        <c:axId val="1453532680"/>
      </c:lineChart>
      <c:catAx>
        <c:axId val="1412540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53532680"/>
        <c:crosses val="autoZero"/>
        <c:auto val="1"/>
        <c:lblAlgn val="ctr"/>
        <c:lblOffset val="100"/>
        <c:noMultiLvlLbl val="0"/>
      </c:catAx>
      <c:valAx>
        <c:axId val="1453532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41254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Display"/>
                <a:ea typeface="Aptos Display"/>
                <a:cs typeface="Aptos Display"/>
              </a:rPr>
              <a:t>Cumulative Total of the Weekly Raisin intakes in kilogram for 2025, 2026 and a 3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Raisins'!$B$9:$B$31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'Total Raisins'!$G$9:$G$31</c:f>
              <c:numCache>
                <c:formatCode>#,##0</c:formatCode>
                <c:ptCount val="11"/>
                <c:pt idx="0">
                  <c:v>1795192.45</c:v>
                </c:pt>
                <c:pt idx="1">
                  <c:v>8228615.3700000001</c:v>
                </c:pt>
                <c:pt idx="2">
                  <c:v>17796770.760000002</c:v>
                </c:pt>
                <c:pt idx="3">
                  <c:v>26998744.18</c:v>
                </c:pt>
                <c:pt idx="4">
                  <c:v>35408591.25</c:v>
                </c:pt>
                <c:pt idx="5">
                  <c:v>42059265.18</c:v>
                </c:pt>
                <c:pt idx="6">
                  <c:v>55069600.93</c:v>
                </c:pt>
                <c:pt idx="7">
                  <c:v>66735383.259999998</c:v>
                </c:pt>
                <c:pt idx="8">
                  <c:v>78221451.560000002</c:v>
                </c:pt>
                <c:pt idx="9">
                  <c:v>84966064.99000001</c:v>
                </c:pt>
                <c:pt idx="10">
                  <c:v>86824066.63000001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3-4AC8-BF62-616F160D8A9C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Raisins'!$B$9:$B$31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'Total Raisins'!$I$9:$I$31</c:f>
              <c:numCache>
                <c:formatCode>#,##0</c:formatCode>
                <c:ptCount val="11"/>
                <c:pt idx="0">
                  <c:v>701403.25</c:v>
                </c:pt>
                <c:pt idx="1">
                  <c:v>5791930.6799999997</c:v>
                </c:pt>
                <c:pt idx="2">
                  <c:v>10400109.140000001</c:v>
                </c:pt>
                <c:pt idx="3">
                  <c:v>17744424.920000002</c:v>
                </c:pt>
                <c:pt idx="4">
                  <c:v>26635301.34</c:v>
                </c:pt>
                <c:pt idx="5">
                  <c:v>35413829.810000002</c:v>
                </c:pt>
                <c:pt idx="6">
                  <c:v>48271475.509999998</c:v>
                </c:pt>
                <c:pt idx="7">
                  <c:v>57601444.769999996</c:v>
                </c:pt>
                <c:pt idx="8">
                  <c:v>66784825.329999998</c:v>
                </c:pt>
                <c:pt idx="9">
                  <c:v>73005219.340000004</c:v>
                </c:pt>
                <c:pt idx="10">
                  <c:v>79903008.100000009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3-4AC8-BF62-616F160D8A9C}"/>
            </c:ext>
          </c:extLst>
        </c:ser>
        <c:ser>
          <c:idx val="2"/>
          <c:order val="2"/>
          <c:tx>
            <c:v>3 Year Average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'Total Raisins'!$B$9:$B$31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'Total Raisins'!$L$9:$L$31</c:f>
              <c:numCache>
                <c:formatCode>#,##0</c:formatCode>
                <c:ptCount val="11"/>
                <c:pt idx="0">
                  <c:v>2808986.92</c:v>
                </c:pt>
                <c:pt idx="1">
                  <c:v>8982671.2466666661</c:v>
                </c:pt>
                <c:pt idx="2">
                  <c:v>14597615.460000001</c:v>
                </c:pt>
                <c:pt idx="3">
                  <c:v>22177623.383333333</c:v>
                </c:pt>
                <c:pt idx="4">
                  <c:v>31047073.893333334</c:v>
                </c:pt>
                <c:pt idx="5">
                  <c:v>40889923.463333331</c:v>
                </c:pt>
                <c:pt idx="6">
                  <c:v>51716283.729999997</c:v>
                </c:pt>
                <c:pt idx="7">
                  <c:v>59987595.689999998</c:v>
                </c:pt>
                <c:pt idx="8">
                  <c:v>66380334.159999996</c:v>
                </c:pt>
                <c:pt idx="9">
                  <c:v>70818928.420000002</c:v>
                </c:pt>
                <c:pt idx="10">
                  <c:v>74180069.579999998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3-4AC8-BF62-616F160D8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477887"/>
        <c:axId val="19479327"/>
      </c:lineChart>
      <c:catAx>
        <c:axId val="19477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rPr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lang="en-ZA" sz="1000" b="1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79327"/>
        <c:crosses val="autoZero"/>
        <c:auto val="1"/>
        <c:lblAlgn val="ctr"/>
        <c:lblOffset val="100"/>
        <c:noMultiLvlLbl val="0"/>
      </c:catAx>
      <c:valAx>
        <c:axId val="1947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ZA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ptos Display"/>
                    <a:ea typeface="Aptos Display"/>
                    <a:cs typeface="Aptos Display"/>
                  </a:rPr>
                  <a:t>Kilogram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en-ZA" sz="1000" b="1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1947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Thompsons!$B$9:$B$31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Thompsons!$G$9:$G$31</c:f>
              <c:numCache>
                <c:formatCode>#,##0</c:formatCode>
                <c:ptCount val="11"/>
                <c:pt idx="0">
                  <c:v>696917.44</c:v>
                </c:pt>
                <c:pt idx="1">
                  <c:v>5079668.8599999994</c:v>
                </c:pt>
                <c:pt idx="2">
                  <c:v>11235213.149999999</c:v>
                </c:pt>
                <c:pt idx="3">
                  <c:v>16880833.799999997</c:v>
                </c:pt>
                <c:pt idx="4">
                  <c:v>22099987.559999995</c:v>
                </c:pt>
                <c:pt idx="5">
                  <c:v>26552421.709999993</c:v>
                </c:pt>
                <c:pt idx="6">
                  <c:v>35164960.319999993</c:v>
                </c:pt>
                <c:pt idx="7">
                  <c:v>42349795.919999994</c:v>
                </c:pt>
                <c:pt idx="8">
                  <c:v>49272565.459999993</c:v>
                </c:pt>
                <c:pt idx="9">
                  <c:v>53438824.679999992</c:v>
                </c:pt>
                <c:pt idx="10">
                  <c:v>54688470.709999993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7-4EDF-85C2-BE7BB4B4058D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Thompsons!$B$9:$B$31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Thompsons!$I$9:$I$31</c:f>
              <c:numCache>
                <c:formatCode>#,##0</c:formatCode>
                <c:ptCount val="11"/>
                <c:pt idx="0">
                  <c:v>138230</c:v>
                </c:pt>
                <c:pt idx="1">
                  <c:v>2214330.09</c:v>
                </c:pt>
                <c:pt idx="2">
                  <c:v>4249681.05</c:v>
                </c:pt>
                <c:pt idx="3">
                  <c:v>8226755.4399999995</c:v>
                </c:pt>
                <c:pt idx="4">
                  <c:v>13682648.109999999</c:v>
                </c:pt>
                <c:pt idx="5">
                  <c:v>18805970.48</c:v>
                </c:pt>
                <c:pt idx="6">
                  <c:v>25926864.380000003</c:v>
                </c:pt>
                <c:pt idx="7">
                  <c:v>31727602.320000004</c:v>
                </c:pt>
                <c:pt idx="8">
                  <c:v>38083494.400000006</c:v>
                </c:pt>
                <c:pt idx="9">
                  <c:v>42184371.409999996</c:v>
                </c:pt>
                <c:pt idx="10">
                  <c:v>46703060.869999997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D7-4EDF-85C2-BE7BB4B40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Orange River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Thompsons!$B$46:$B$68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Thompsons!$G$46:$G$68</c:f>
              <c:numCache>
                <c:formatCode>#,##0</c:formatCode>
                <c:ptCount val="11"/>
                <c:pt idx="0">
                  <c:v>607068.43999999994</c:v>
                </c:pt>
                <c:pt idx="1">
                  <c:v>4696237.24</c:v>
                </c:pt>
                <c:pt idx="2">
                  <c:v>10280704.350000001</c:v>
                </c:pt>
                <c:pt idx="3">
                  <c:v>15259010.370000001</c:v>
                </c:pt>
                <c:pt idx="4">
                  <c:v>19755077.950000003</c:v>
                </c:pt>
                <c:pt idx="5">
                  <c:v>23152538.470000003</c:v>
                </c:pt>
                <c:pt idx="6">
                  <c:v>30256332.990000002</c:v>
                </c:pt>
                <c:pt idx="7">
                  <c:v>35789989.010000005</c:v>
                </c:pt>
                <c:pt idx="8">
                  <c:v>40856100.520000003</c:v>
                </c:pt>
                <c:pt idx="9">
                  <c:v>43460929.230000004</c:v>
                </c:pt>
                <c:pt idx="10">
                  <c:v>44413694.240000002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7-4697-997B-EFE7B3BE2280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Thompsons!$B$46:$B$68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Thompsons!$I$46:$I$68</c:f>
              <c:numCache>
                <c:formatCode>#,##0</c:formatCode>
                <c:ptCount val="11"/>
                <c:pt idx="0">
                  <c:v>138230</c:v>
                </c:pt>
                <c:pt idx="1">
                  <c:v>1894633.81</c:v>
                </c:pt>
                <c:pt idx="2">
                  <c:v>3451115.6500000004</c:v>
                </c:pt>
                <c:pt idx="3">
                  <c:v>6904691.4900000002</c:v>
                </c:pt>
                <c:pt idx="4">
                  <c:v>11259914.050000001</c:v>
                </c:pt>
                <c:pt idx="5">
                  <c:v>15558330.109999999</c:v>
                </c:pt>
                <c:pt idx="6">
                  <c:v>21451893.449999999</c:v>
                </c:pt>
                <c:pt idx="7">
                  <c:v>25936753.869999997</c:v>
                </c:pt>
                <c:pt idx="8">
                  <c:v>30831314.849999998</c:v>
                </c:pt>
                <c:pt idx="9">
                  <c:v>34128724.359999999</c:v>
                </c:pt>
                <c:pt idx="10">
                  <c:v>38145778.32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7-4697-997B-EFE7B3BE2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Olifants River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Thompsons!$B$83:$B$105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Thompsons!$G$83:$G$105</c:f>
              <c:numCache>
                <c:formatCode>#,##0</c:formatCode>
                <c:ptCount val="11"/>
                <c:pt idx="0">
                  <c:v>0</c:v>
                </c:pt>
                <c:pt idx="1">
                  <c:v>233713.08</c:v>
                </c:pt>
                <c:pt idx="2">
                  <c:v>711113.66</c:v>
                </c:pt>
                <c:pt idx="3">
                  <c:v>1353896.26</c:v>
                </c:pt>
                <c:pt idx="4">
                  <c:v>1991306.27</c:v>
                </c:pt>
                <c:pt idx="5">
                  <c:v>2949494.88</c:v>
                </c:pt>
                <c:pt idx="6">
                  <c:v>4433286.42</c:v>
                </c:pt>
                <c:pt idx="7">
                  <c:v>6037728.96</c:v>
                </c:pt>
                <c:pt idx="8">
                  <c:v>7877742.4900000002</c:v>
                </c:pt>
                <c:pt idx="9">
                  <c:v>9430574.5500000007</c:v>
                </c:pt>
                <c:pt idx="10">
                  <c:v>9708654.0600000005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A-4A92-A39E-12F5F0C3EB0A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Thompsons!$B$83:$B$105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Thompsons!$I$83:$I$105</c:f>
              <c:numCache>
                <c:formatCode>#,##0</c:formatCode>
                <c:ptCount val="11"/>
                <c:pt idx="0">
                  <c:v>0</c:v>
                </c:pt>
                <c:pt idx="1">
                  <c:v>66980.570000000007</c:v>
                </c:pt>
                <c:pt idx="2">
                  <c:v>436292.08</c:v>
                </c:pt>
                <c:pt idx="3">
                  <c:v>878614.59000000008</c:v>
                </c:pt>
                <c:pt idx="4">
                  <c:v>1953189.11</c:v>
                </c:pt>
                <c:pt idx="5">
                  <c:v>2668899.4300000002</c:v>
                </c:pt>
                <c:pt idx="6">
                  <c:v>3847599.45</c:v>
                </c:pt>
                <c:pt idx="7">
                  <c:v>5161395.4700000007</c:v>
                </c:pt>
                <c:pt idx="8">
                  <c:v>6574718.5300000012</c:v>
                </c:pt>
                <c:pt idx="9">
                  <c:v>7378186.0300000003</c:v>
                </c:pt>
                <c:pt idx="10">
                  <c:v>7879821.5300000003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A-4A92-A39E-12F5F0C3E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r>
              <a:rPr lang="en-US"/>
              <a:t>Cumulative Total of the Namibia Weekly Thompson intakes in kilogram for 2025 and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2026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Thompsons!$B$120:$B$142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Thompsons!$G$120:$G$142</c:f>
              <c:numCache>
                <c:formatCode>#,##0</c:formatCode>
                <c:ptCount val="11"/>
                <c:pt idx="0">
                  <c:v>89849</c:v>
                </c:pt>
                <c:pt idx="1">
                  <c:v>149718.54</c:v>
                </c:pt>
                <c:pt idx="2">
                  <c:v>243395.14</c:v>
                </c:pt>
                <c:pt idx="3">
                  <c:v>267927.17000000004</c:v>
                </c:pt>
                <c:pt idx="4">
                  <c:v>353603.34</c:v>
                </c:pt>
                <c:pt idx="5">
                  <c:v>450388.36000000004</c:v>
                </c:pt>
                <c:pt idx="6">
                  <c:v>475340.91000000003</c:v>
                </c:pt>
                <c:pt idx="7">
                  <c:v>522077.95</c:v>
                </c:pt>
                <c:pt idx="8">
                  <c:v>538722.44999999995</c:v>
                </c:pt>
                <c:pt idx="9">
                  <c:v>547320.89999999991</c:v>
                </c:pt>
                <c:pt idx="10">
                  <c:v>566122.40999999992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A-40DE-90C7-A689D6428F43}"/>
            </c:ext>
          </c:extLst>
        </c:ser>
        <c:ser>
          <c:idx val="1"/>
          <c:order val="1"/>
          <c:tx>
            <c:v>2025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Thompsons!$B$120:$B$142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</c:numCache>
            </c:numRef>
          </c:cat>
          <c:val>
            <c:numRef>
              <c:f>Thompsons!$I$120:$I$142</c:f>
              <c:numCache>
                <c:formatCode>#,##0</c:formatCode>
                <c:ptCount val="11"/>
                <c:pt idx="0">
                  <c:v>0</c:v>
                </c:pt>
                <c:pt idx="1">
                  <c:v>252715.71</c:v>
                </c:pt>
                <c:pt idx="2">
                  <c:v>362273.32</c:v>
                </c:pt>
                <c:pt idx="3">
                  <c:v>443449.36</c:v>
                </c:pt>
                <c:pt idx="4">
                  <c:v>469545.39</c:v>
                </c:pt>
                <c:pt idx="5">
                  <c:v>578740.94000000006</c:v>
                </c:pt>
                <c:pt idx="6">
                  <c:v>627371.4800000001</c:v>
                </c:pt>
                <c:pt idx="7">
                  <c:v>629452.9800000001</c:v>
                </c:pt>
                <c:pt idx="8">
                  <c:v>677461.02000000014</c:v>
                </c:pt>
                <c:pt idx="9">
                  <c:v>677461.02</c:v>
                </c:pt>
                <c:pt idx="10">
                  <c:v>677461.02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A-40DE-90C7-A689D6428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280456"/>
        <c:axId val="82282504"/>
      </c:lineChart>
      <c:catAx>
        <c:axId val="82280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2504"/>
        <c:crosses val="autoZero"/>
        <c:auto val="1"/>
        <c:lblAlgn val="ctr"/>
        <c:lblOffset val="100"/>
        <c:noMultiLvlLbl val="0"/>
      </c:catAx>
      <c:valAx>
        <c:axId val="8228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ptos Display"/>
                    <a:ea typeface="Aptos Display"/>
                    <a:cs typeface="Aptos Display"/>
                  </a:defRPr>
                </a:pPr>
                <a:r>
                  <a:rPr lang="en-US"/>
                  <a:t>Kilograms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ptos Display"/>
                  <a:ea typeface="Aptos Display"/>
                  <a:cs typeface="Aptos Display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Display"/>
                <a:ea typeface="Aptos Display"/>
                <a:cs typeface="Aptos Display"/>
              </a:defRPr>
            </a:pPr>
            <a:endParaRPr lang="en-US"/>
          </a:p>
        </c:txPr>
        <c:crossAx val="8228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Display"/>
              <a:ea typeface="Aptos Display"/>
              <a:cs typeface="Aptos Display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image" Target="../media/image1.png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image" Target="../media/image1.png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image" Target="../media/image1.png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image" Target="../media/image1.png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image" Target="../media/image1.png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230505</xdr:colOff>
      <xdr:row>37</xdr:row>
      <xdr:rowOff>144463</xdr:rowOff>
    </xdr:from>
    <xdr:ext cx="1571625" cy="662733"/>
    <xdr:pic>
      <xdr:nvPicPr>
        <xdr:cNvPr id="4" name="Picture 3">
          <a:extLst>
            <a:ext uri="{FF2B5EF4-FFF2-40B4-BE49-F238E27FC236}">
              <a16:creationId xmlns:a16="http://schemas.microsoft.com/office/drawing/2014/main" id="{D24A1C87-0ACF-49F2-9F3A-5E8AF905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" y="4216401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275908</xdr:colOff>
      <xdr:row>74</xdr:row>
      <xdr:rowOff>125413</xdr:rowOff>
    </xdr:from>
    <xdr:ext cx="1571625" cy="662733"/>
    <xdr:pic>
      <xdr:nvPicPr>
        <xdr:cNvPr id="8" name="Picture 4">
          <a:extLst>
            <a:ext uri="{FF2B5EF4-FFF2-40B4-BE49-F238E27FC236}">
              <a16:creationId xmlns:a16="http://schemas.microsoft.com/office/drawing/2014/main" id="{5D1229E2-521C-4954-8F84-A9396160A389}"/>
            </a:ext>
            <a:ext uri="{147F2762-F138-4A5C-976F-8EAC2B608ADB}">
              <a16:predDERef xmlns:a16="http://schemas.microsoft.com/office/drawing/2014/main" pred="{D24A1C87-0ACF-49F2-9F3A-5E8AF905F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8" y="7602538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295275</xdr:colOff>
      <xdr:row>112</xdr:row>
      <xdr:rowOff>9208</xdr:rowOff>
    </xdr:from>
    <xdr:ext cx="1571625" cy="662733"/>
    <xdr:pic>
      <xdr:nvPicPr>
        <xdr:cNvPr id="10" name="Picture 5">
          <a:extLst>
            <a:ext uri="{FF2B5EF4-FFF2-40B4-BE49-F238E27FC236}">
              <a16:creationId xmlns:a16="http://schemas.microsoft.com/office/drawing/2014/main" id="{C7AD1D8B-CAB1-4147-A3E4-C5D19549C659}"/>
            </a:ext>
            <a:ext uri="{147F2762-F138-4A5C-976F-8EAC2B608ADB}">
              <a16:predDERef xmlns:a16="http://schemas.microsoft.com/office/drawing/2014/main" pred="{5D1229E2-521C-4954-8F84-A9396160A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275" y="12391708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9</xdr:col>
      <xdr:colOff>500063</xdr:colOff>
      <xdr:row>2</xdr:row>
      <xdr:rowOff>23813</xdr:rowOff>
    </xdr:from>
    <xdr:to>
      <xdr:col>12</xdr:col>
      <xdr:colOff>134938</xdr:colOff>
      <xdr:row>2</xdr:row>
      <xdr:rowOff>573522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AA56B0-596F-60B1-2BB1-EB05B7A4B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175626" y="388938"/>
          <a:ext cx="1857375" cy="549709"/>
        </a:xfrm>
        <a:prstGeom prst="rect">
          <a:avLst/>
        </a:prstGeom>
      </xdr:spPr>
    </xdr:pic>
    <xdr:clientData/>
  </xdr:twoCellAnchor>
  <xdr:oneCellAnchor>
    <xdr:from>
      <xdr:col>1</xdr:col>
      <xdr:colOff>214313</xdr:colOff>
      <xdr:row>1</xdr:row>
      <xdr:rowOff>164464</xdr:rowOff>
    </xdr:from>
    <xdr:ext cx="1571625" cy="662733"/>
    <xdr:pic>
      <xdr:nvPicPr>
        <xdr:cNvPr id="9" name="Picture 2">
          <a:extLst>
            <a:ext uri="{FF2B5EF4-FFF2-40B4-BE49-F238E27FC236}">
              <a16:creationId xmlns:a16="http://schemas.microsoft.com/office/drawing/2014/main" id="{9A179D00-5A02-4627-83D4-0A38E401A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347027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</xdr:col>
      <xdr:colOff>483658</xdr:colOff>
      <xdr:row>40</xdr:row>
      <xdr:rowOff>186268</xdr:rowOff>
    </xdr:from>
    <xdr:to>
      <xdr:col>18</xdr:col>
      <xdr:colOff>19050</xdr:colOff>
      <xdr:row>54</xdr:row>
      <xdr:rowOff>118534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6B940BD-D9A6-CAAF-E344-B9BFE7AAC302}"/>
            </a:ext>
            <a:ext uri="{147F2762-F138-4A5C-976F-8EAC2B608ADB}">
              <a16:predDERef xmlns:a16="http://schemas.microsoft.com/office/drawing/2014/main" pred="{94A7636A-328B-21D5-04F1-679C2CBF5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595840</xdr:colOff>
      <xdr:row>78</xdr:row>
      <xdr:rowOff>1060</xdr:rowOff>
    </xdr:from>
    <xdr:to>
      <xdr:col>18</xdr:col>
      <xdr:colOff>35982</xdr:colOff>
      <xdr:row>91</xdr:row>
      <xdr:rowOff>127001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80904A-EDD0-77AF-B5F6-50C4C4C12C58}"/>
            </a:ext>
            <a:ext uri="{147F2762-F138-4A5C-976F-8EAC2B608ADB}">
              <a16:predDERef xmlns:a16="http://schemas.microsoft.com/office/drawing/2014/main" pred="{F6B940BD-D9A6-CAAF-E344-B9BFE7AAC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-3467100</xdr:rowOff>
    </xdr:from>
    <xdr:to>
      <xdr:col>0</xdr:col>
      <xdr:colOff>0</xdr:colOff>
      <xdr:row>0</xdr:row>
      <xdr:rowOff>-3467100</xdr:rowOff>
    </xdr:to>
    <xdr:graphicFrame macro="">
      <xdr:nvGraphicFramePr>
        <xdr:cNvPr id="6" name="Chart 10">
          <a:extLst>
            <a:ext uri="{FF2B5EF4-FFF2-40B4-BE49-F238E27FC236}">
              <a16:creationId xmlns:a16="http://schemas.microsoft.com/office/drawing/2014/main" id="{24AD6971-7E4D-F3F6-1905-C0005EFAEC7F}"/>
            </a:ext>
            <a:ext uri="{147F2762-F138-4A5C-976F-8EAC2B608ADB}">
              <a16:predDERef xmlns:a16="http://schemas.microsoft.com/office/drawing/2014/main" pred="{1580904A-EDD0-77AF-B5F6-50C4C4C12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655108</xdr:colOff>
      <xdr:row>115</xdr:row>
      <xdr:rowOff>10584</xdr:rowOff>
    </xdr:from>
    <xdr:to>
      <xdr:col>17</xdr:col>
      <xdr:colOff>493183</xdr:colOff>
      <xdr:row>128</xdr:row>
      <xdr:rowOff>160867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6DEB128-F733-4F1E-A80F-8C0FF056901F}"/>
            </a:ext>
            <a:ext uri="{147F2762-F138-4A5C-976F-8EAC2B608ADB}">
              <a16:predDERef xmlns:a16="http://schemas.microsoft.com/office/drawing/2014/main" pred="{F6B940BD-D9A6-CAAF-E344-B9BFE7AAC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520700</xdr:colOff>
      <xdr:row>2</xdr:row>
      <xdr:rowOff>372535</xdr:rowOff>
    </xdr:from>
    <xdr:to>
      <xdr:col>18</xdr:col>
      <xdr:colOff>42333</xdr:colOff>
      <xdr:row>17</xdr:row>
      <xdr:rowOff>93134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177DB2D-F2CC-4D57-5A7B-188E98F36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187325</xdr:colOff>
      <xdr:row>0</xdr:row>
      <xdr:rowOff>12700</xdr:rowOff>
    </xdr:from>
    <xdr:ext cx="1630680" cy="687636"/>
    <xdr:pic>
      <xdr:nvPicPr>
        <xdr:cNvPr id="2" name="Picture 1">
          <a:extLst>
            <a:ext uri="{FF2B5EF4-FFF2-40B4-BE49-F238E27FC236}">
              <a16:creationId xmlns:a16="http://schemas.microsoft.com/office/drawing/2014/main" id="{9F1562DE-A508-467B-A4CA-6CBE83CB7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2700"/>
          <a:ext cx="1630680" cy="68763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254000</xdr:colOff>
      <xdr:row>37</xdr:row>
      <xdr:rowOff>50165</xdr:rowOff>
    </xdr:from>
    <xdr:ext cx="1571625" cy="662733"/>
    <xdr:pic>
      <xdr:nvPicPr>
        <xdr:cNvPr id="3" name="Picture 2">
          <a:extLst>
            <a:ext uri="{FF2B5EF4-FFF2-40B4-BE49-F238E27FC236}">
              <a16:creationId xmlns:a16="http://schemas.microsoft.com/office/drawing/2014/main" id="{F1C49932-AC97-41D4-82CD-8F5310CB5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" y="42183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208280</xdr:colOff>
      <xdr:row>111</xdr:row>
      <xdr:rowOff>95885</xdr:rowOff>
    </xdr:from>
    <xdr:ext cx="1571625" cy="662733"/>
    <xdr:pic>
      <xdr:nvPicPr>
        <xdr:cNvPr id="4" name="Picture 3">
          <a:extLst>
            <a:ext uri="{FF2B5EF4-FFF2-40B4-BE49-F238E27FC236}">
              <a16:creationId xmlns:a16="http://schemas.microsoft.com/office/drawing/2014/main" id="{0E1FCEF6-CA64-4A58-AD83-37CC5449A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1269174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171451</xdr:rowOff>
    </xdr:from>
    <xdr:to>
      <xdr:col>16</xdr:col>
      <xdr:colOff>390525</xdr:colOff>
      <xdr:row>14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7478DC1-8966-E20A-7020-13D8CE0D2311}"/>
            </a:ext>
            <a:ext uri="{147F2762-F138-4A5C-976F-8EAC2B608ADB}">
              <a16:predDERef xmlns:a16="http://schemas.microsoft.com/office/drawing/2014/main" pred="{E20C1AE3-52CC-475F-9993-A7B4EDE78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40</xdr:row>
      <xdr:rowOff>74295</xdr:rowOff>
    </xdr:from>
    <xdr:to>
      <xdr:col>16</xdr:col>
      <xdr:colOff>390525</xdr:colOff>
      <xdr:row>51</xdr:row>
      <xdr:rowOff>99060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428BED5-3055-4E67-B7F8-AB39A1B45979}"/>
            </a:ext>
            <a:ext uri="{147F2762-F138-4A5C-976F-8EAC2B608ADB}">
              <a16:predDERef xmlns:a16="http://schemas.microsoft.com/office/drawing/2014/main" pred="{97478DC1-8966-E20A-7020-13D8CE0D2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1905</xdr:colOff>
      <xdr:row>77</xdr:row>
      <xdr:rowOff>41910</xdr:rowOff>
    </xdr:from>
    <xdr:to>
      <xdr:col>16</xdr:col>
      <xdr:colOff>381000</xdr:colOff>
      <xdr:row>88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7ED6FFE-EFE0-4F4F-8CAF-1CBD3678D025}"/>
            </a:ext>
            <a:ext uri="{147F2762-F138-4A5C-976F-8EAC2B608ADB}">
              <a16:predDERef xmlns:a16="http://schemas.microsoft.com/office/drawing/2014/main" pred="{E428BED5-3055-4E67-B7F8-AB39A1B45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112</xdr:row>
      <xdr:rowOff>219075</xdr:rowOff>
    </xdr:from>
    <xdr:to>
      <xdr:col>16</xdr:col>
      <xdr:colOff>400050</xdr:colOff>
      <xdr:row>125</xdr:row>
      <xdr:rowOff>121920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F3637E6-38C0-4142-A93C-6B42F88F3A59}"/>
            </a:ext>
            <a:ext uri="{147F2762-F138-4A5C-976F-8EAC2B608ADB}">
              <a16:predDERef xmlns:a16="http://schemas.microsoft.com/office/drawing/2014/main" pred="{47ED6FFE-EFE0-4F4F-8CAF-1CBD3678D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</xdr:col>
      <xdr:colOff>205740</xdr:colOff>
      <xdr:row>74</xdr:row>
      <xdr:rowOff>38100</xdr:rowOff>
    </xdr:from>
    <xdr:ext cx="1571625" cy="662733"/>
    <xdr:pic>
      <xdr:nvPicPr>
        <xdr:cNvPr id="10" name="Picture 9">
          <a:extLst>
            <a:ext uri="{FF2B5EF4-FFF2-40B4-BE49-F238E27FC236}">
              <a16:creationId xmlns:a16="http://schemas.microsoft.com/office/drawing/2014/main" id="{DCF43AC1-83E6-4ACA-BC98-A7E903FCB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842772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217805</xdr:colOff>
      <xdr:row>0</xdr:row>
      <xdr:rowOff>44450</xdr:rowOff>
    </xdr:from>
    <xdr:ext cx="1594485" cy="672373"/>
    <xdr:pic>
      <xdr:nvPicPr>
        <xdr:cNvPr id="6" name="Picture 5">
          <a:extLst>
            <a:ext uri="{FF2B5EF4-FFF2-40B4-BE49-F238E27FC236}">
              <a16:creationId xmlns:a16="http://schemas.microsoft.com/office/drawing/2014/main" id="{2A874578-E660-40CB-A38F-0285E0BD7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" y="44450"/>
          <a:ext cx="1594485" cy="67237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196850</xdr:colOff>
      <xdr:row>37</xdr:row>
      <xdr:rowOff>52070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D7DF2150-BE0F-4765-95B1-AB0B4072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56997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264795</xdr:colOff>
      <xdr:row>74</xdr:row>
      <xdr:rowOff>49530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0134FD21-4B0E-4DBF-9196-28443F132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795" y="74472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239395</xdr:colOff>
      <xdr:row>111</xdr:row>
      <xdr:rowOff>36830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8376D35B-EFA9-4170-8255-99F2215C7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95" y="111493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152401</xdr:rowOff>
    </xdr:from>
    <xdr:to>
      <xdr:col>17</xdr:col>
      <xdr:colOff>276225</xdr:colOff>
      <xdr:row>14</xdr:row>
      <xdr:rowOff>137161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C5DC76-0520-BA7D-8888-9499B33DB8CA}"/>
            </a:ext>
            <a:ext uri="{147F2762-F138-4A5C-976F-8EAC2B608ADB}">
              <a16:predDERef xmlns:a16="http://schemas.microsoft.com/office/drawing/2014/main" pred="{8376D35B-EFA9-4170-8255-99F2215C7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38</xdr:row>
      <xdr:rowOff>161925</xdr:rowOff>
    </xdr:from>
    <xdr:to>
      <xdr:col>17</xdr:col>
      <xdr:colOff>276225</xdr:colOff>
      <xdr:row>51</xdr:row>
      <xdr:rowOff>121920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A29ECF1-BCDA-4514-B1C4-0CDD6CBE46EA}"/>
            </a:ext>
            <a:ext uri="{147F2762-F138-4A5C-976F-8EAC2B608ADB}">
              <a16:predDERef xmlns:a16="http://schemas.microsoft.com/office/drawing/2014/main" pred="{86C5DC76-0520-BA7D-8888-9499B33DB8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544830</xdr:colOff>
      <xdr:row>75</xdr:row>
      <xdr:rowOff>219075</xdr:rowOff>
    </xdr:from>
    <xdr:to>
      <xdr:col>17</xdr:col>
      <xdr:colOff>276225</xdr:colOff>
      <xdr:row>88</xdr:row>
      <xdr:rowOff>152400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9619B72-3D93-4273-AEA6-94E1F1E1C5C4}"/>
            </a:ext>
            <a:ext uri="{147F2762-F138-4A5C-976F-8EAC2B608ADB}">
              <a16:predDERef xmlns:a16="http://schemas.microsoft.com/office/drawing/2014/main" pred="{AA29ECF1-BCDA-4514-B1C4-0CDD6CBE4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112</xdr:row>
      <xdr:rowOff>200025</xdr:rowOff>
    </xdr:from>
    <xdr:to>
      <xdr:col>17</xdr:col>
      <xdr:colOff>257175</xdr:colOff>
      <xdr:row>125</xdr:row>
      <xdr:rowOff>160020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50A9E4F-DC8B-4FE7-AEF1-10BAFA46658E}"/>
            </a:ext>
            <a:ext uri="{147F2762-F138-4A5C-976F-8EAC2B608ADB}">
              <a16:predDERef xmlns:a16="http://schemas.microsoft.com/office/drawing/2014/main" pred="{89619B72-3D93-4273-AEA6-94E1F1E1C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201295</xdr:colOff>
      <xdr:row>0</xdr:row>
      <xdr:rowOff>0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B1078AE1-DC6E-4609-93F4-B955745A5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295" y="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166370</xdr:colOff>
      <xdr:row>37</xdr:row>
      <xdr:rowOff>74930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21708414-4E1D-495E-B7F9-783A1EEFA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35928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182245</xdr:colOff>
      <xdr:row>74</xdr:row>
      <xdr:rowOff>1905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0A215455-BC06-4EA2-803B-DBF54F63C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45" y="72536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153670</xdr:colOff>
      <xdr:row>111</xdr:row>
      <xdr:rowOff>33655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90DC085F-F04B-4545-90F2-BFAC9BFA9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670" y="109874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161925</xdr:rowOff>
    </xdr:from>
    <xdr:to>
      <xdr:col>17</xdr:col>
      <xdr:colOff>0</xdr:colOff>
      <xdr:row>14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E1B6CE-DC11-E4E1-E241-57639E5F5491}"/>
            </a:ext>
            <a:ext uri="{147F2762-F138-4A5C-976F-8EAC2B608ADB}">
              <a16:predDERef xmlns:a16="http://schemas.microsoft.com/office/drawing/2014/main" pred="{90DC085F-F04B-4545-90F2-BFAC9BFA9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75</xdr:row>
      <xdr:rowOff>200025</xdr:rowOff>
    </xdr:from>
    <xdr:to>
      <xdr:col>17</xdr:col>
      <xdr:colOff>0</xdr:colOff>
      <xdr:row>88</xdr:row>
      <xdr:rowOff>121920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6BA3A8-6DB7-41F0-830B-0FF7BE5BAF48}"/>
            </a:ext>
            <a:ext uri="{147F2762-F138-4A5C-976F-8EAC2B608ADB}">
              <a16:predDERef xmlns:a16="http://schemas.microsoft.com/office/drawing/2014/main" pred="{F93CBAC0-47F3-4C4E-B223-797365CC7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39</xdr:row>
      <xdr:rowOff>0</xdr:rowOff>
    </xdr:from>
    <xdr:to>
      <xdr:col>17</xdr:col>
      <xdr:colOff>3810</xdr:colOff>
      <xdr:row>51</xdr:row>
      <xdr:rowOff>137160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6556089-573A-47BC-AC25-2503D0736CF3}"/>
            </a:ext>
            <a:ext uri="{147F2762-F138-4A5C-976F-8EAC2B608ADB}">
              <a16:predDERef xmlns:a16="http://schemas.microsoft.com/office/drawing/2014/main" pred="{90DC085F-F04B-4545-90F2-BFAC9BFA9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0</xdr:rowOff>
    </xdr:from>
    <xdr:to>
      <xdr:col>17</xdr:col>
      <xdr:colOff>3810</xdr:colOff>
      <xdr:row>125</xdr:row>
      <xdr:rowOff>160020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9C1902A-87A9-470F-8DB6-08CA59E661CC}"/>
            </a:ext>
            <a:ext uri="{147F2762-F138-4A5C-976F-8EAC2B608ADB}">
              <a16:predDERef xmlns:a16="http://schemas.microsoft.com/office/drawing/2014/main" pred="{F93CBAC0-47F3-4C4E-B223-797365CC7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198755</xdr:colOff>
      <xdr:row>0</xdr:row>
      <xdr:rowOff>40005</xdr:rowOff>
    </xdr:from>
    <xdr:ext cx="1571625" cy="662733"/>
    <xdr:pic>
      <xdr:nvPicPr>
        <xdr:cNvPr id="2" name="Picture 1">
          <a:extLst>
            <a:ext uri="{FF2B5EF4-FFF2-40B4-BE49-F238E27FC236}">
              <a16:creationId xmlns:a16="http://schemas.microsoft.com/office/drawing/2014/main" id="{2FB64B49-65EA-40B6-AF61-892D052E9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" y="400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191770</xdr:colOff>
      <xdr:row>37</xdr:row>
      <xdr:rowOff>36830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5254DF82-C63D-440E-9398-29AACF2E9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770" y="35737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188595</xdr:colOff>
      <xdr:row>74</xdr:row>
      <xdr:rowOff>8255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A9E3AF38-BF22-4172-A81A-2AFD166BC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595" y="72599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182245</xdr:colOff>
      <xdr:row>111</xdr:row>
      <xdr:rowOff>20955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3E3EBD23-0484-48BD-9E25-5D60AEE0E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45" y="111842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142875</xdr:rowOff>
    </xdr:from>
    <xdr:to>
      <xdr:col>18</xdr:col>
      <xdr:colOff>0</xdr:colOff>
      <xdr:row>14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0C0C70-E164-6DE7-4CF1-0F9B02ED694A}"/>
            </a:ext>
            <a:ext uri="{147F2762-F138-4A5C-976F-8EAC2B608ADB}">
              <a16:predDERef xmlns:a16="http://schemas.microsoft.com/office/drawing/2014/main" pred="{3E3EBD23-0484-48BD-9E25-5D60AEE0E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</xdr:colOff>
      <xdr:row>111</xdr:row>
      <xdr:rowOff>161925</xdr:rowOff>
    </xdr:from>
    <xdr:to>
      <xdr:col>17</xdr:col>
      <xdr:colOff>544830</xdr:colOff>
      <xdr:row>125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8D2E78D-E365-4031-8A21-DB11F05281FA}"/>
            </a:ext>
            <a:ext uri="{147F2762-F138-4A5C-976F-8EAC2B608ADB}">
              <a16:predDERef xmlns:a16="http://schemas.microsoft.com/office/drawing/2014/main" pred="{4FB1A187-16BE-4ED2-8C46-0AE3993C5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7620</xdr:colOff>
      <xdr:row>38</xdr:row>
      <xdr:rowOff>190500</xdr:rowOff>
    </xdr:from>
    <xdr:to>
      <xdr:col>18</xdr:col>
      <xdr:colOff>11430</xdr:colOff>
      <xdr:row>51</xdr:row>
      <xdr:rowOff>108585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4F8726D-B6D5-4ED9-A121-7D72517C8BC0}"/>
            </a:ext>
            <a:ext uri="{147F2762-F138-4A5C-976F-8EAC2B608ADB}">
              <a16:predDERef xmlns:a16="http://schemas.microsoft.com/office/drawing/2014/main" pred="{3E3EBD23-0484-48BD-9E25-5D60AEE0E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75</xdr:row>
      <xdr:rowOff>190500</xdr:rowOff>
    </xdr:from>
    <xdr:to>
      <xdr:col>18</xdr:col>
      <xdr:colOff>3810</xdr:colOff>
      <xdr:row>88</xdr:row>
      <xdr:rowOff>93345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037833C-0BFA-4F29-A335-840B6AF2DAB5}"/>
            </a:ext>
            <a:ext uri="{147F2762-F138-4A5C-976F-8EAC2B608ADB}">
              <a16:predDERef xmlns:a16="http://schemas.microsoft.com/office/drawing/2014/main" pred="{3E3EBD23-0484-48BD-9E25-5D60AEE0E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179070</xdr:colOff>
      <xdr:row>0</xdr:row>
      <xdr:rowOff>20320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521CCB0A-9833-4701-BA46-E6E228666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070" y="2032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140970</xdr:colOff>
      <xdr:row>37</xdr:row>
      <xdr:rowOff>72390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ED77742-14D9-4765-A91D-D2ACC6883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" y="356489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207645</xdr:colOff>
      <xdr:row>74</xdr:row>
      <xdr:rowOff>17780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5A876860-66E6-4B20-BEB2-0D479D03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645" y="72059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169545</xdr:colOff>
      <xdr:row>111</xdr:row>
      <xdr:rowOff>68580</xdr:rowOff>
    </xdr:from>
    <xdr:ext cx="1571625" cy="662733"/>
    <xdr:pic>
      <xdr:nvPicPr>
        <xdr:cNvPr id="2" name="Picture 8">
          <a:extLst>
            <a:ext uri="{FF2B5EF4-FFF2-40B4-BE49-F238E27FC236}">
              <a16:creationId xmlns:a16="http://schemas.microsoft.com/office/drawing/2014/main" id="{F696A6AE-4864-403C-8F09-D9B97BC5F2DF}"/>
            </a:ext>
            <a:ext uri="{147F2762-F138-4A5C-976F-8EAC2B608ADB}">
              <a16:predDERef xmlns:a16="http://schemas.microsoft.com/office/drawing/2014/main" pred="{5A876860-66E6-4B20-BEB2-0D479D03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115366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161925</xdr:rowOff>
    </xdr:from>
    <xdr:to>
      <xdr:col>17</xdr:col>
      <xdr:colOff>544830</xdr:colOff>
      <xdr:row>14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B249D7-E18D-51FA-5B6C-9F94258E3D6F}"/>
            </a:ext>
            <a:ext uri="{147F2762-F138-4A5C-976F-8EAC2B608ADB}">
              <a16:predDERef xmlns:a16="http://schemas.microsoft.com/office/drawing/2014/main" pred="{F696A6AE-4864-403C-8F09-D9B97BC5F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7620</xdr:colOff>
      <xdr:row>39</xdr:row>
      <xdr:rowOff>194310</xdr:rowOff>
    </xdr:from>
    <xdr:to>
      <xdr:col>18</xdr:col>
      <xdr:colOff>7620</xdr:colOff>
      <xdr:row>51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89C872A-A969-4C2E-AA99-9BAD80DB5D66}"/>
            </a:ext>
            <a:ext uri="{147F2762-F138-4A5C-976F-8EAC2B608ADB}">
              <a16:predDERef xmlns:a16="http://schemas.microsoft.com/office/drawing/2014/main" pred="{E0B249D7-E18D-51FA-5B6C-9F94258E3D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1905</xdr:colOff>
      <xdr:row>75</xdr:row>
      <xdr:rowOff>161925</xdr:rowOff>
    </xdr:from>
    <xdr:to>
      <xdr:col>18</xdr:col>
      <xdr:colOff>1905</xdr:colOff>
      <xdr:row>88</xdr:row>
      <xdr:rowOff>121920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DA2E57D-CAA8-4CF4-903A-555CCFDA7092}"/>
            </a:ext>
            <a:ext uri="{147F2762-F138-4A5C-976F-8EAC2B608ADB}">
              <a16:predDERef xmlns:a16="http://schemas.microsoft.com/office/drawing/2014/main" pred="{289C872A-A969-4C2E-AA99-9BAD80DB5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1</xdr:rowOff>
    </xdr:from>
    <xdr:to>
      <xdr:col>18</xdr:col>
      <xdr:colOff>0</xdr:colOff>
      <xdr:row>125</xdr:row>
      <xdr:rowOff>152401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F3BA693-0B40-4B23-BC49-8AA5648DCD42}"/>
            </a:ext>
            <a:ext uri="{147F2762-F138-4A5C-976F-8EAC2B608ADB}">
              <a16:predDERef xmlns:a16="http://schemas.microsoft.com/office/drawing/2014/main" pred="{1DA2E57D-CAA8-4CF4-903A-555CCFDA70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204470</xdr:colOff>
      <xdr:row>0</xdr:row>
      <xdr:rowOff>22225</xdr:rowOff>
    </xdr:from>
    <xdr:ext cx="1571625" cy="662733"/>
    <xdr:pic>
      <xdr:nvPicPr>
        <xdr:cNvPr id="6" name="Picture 5">
          <a:extLst>
            <a:ext uri="{FF2B5EF4-FFF2-40B4-BE49-F238E27FC236}">
              <a16:creationId xmlns:a16="http://schemas.microsoft.com/office/drawing/2014/main" id="{BE4271AF-E7A7-46A7-9F33-52594E115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2222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175895</xdr:colOff>
      <xdr:row>37</xdr:row>
      <xdr:rowOff>43180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8219050-C464-4CB1-A20E-10C078090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35356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220345</xdr:colOff>
      <xdr:row>74</xdr:row>
      <xdr:rowOff>36830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A0BF8C78-E1D8-400E-A867-5BB8EC145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345" y="723138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207645</xdr:colOff>
      <xdr:row>111</xdr:row>
      <xdr:rowOff>43180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6383B923-69B7-43D8-A130-EFF7A7212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645" y="11149330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9</xdr:col>
      <xdr:colOff>544830</xdr:colOff>
      <xdr:row>1</xdr:row>
      <xdr:rowOff>161925</xdr:rowOff>
    </xdr:from>
    <xdr:to>
      <xdr:col>17</xdr:col>
      <xdr:colOff>9525</xdr:colOff>
      <xdr:row>14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5E0D24-AA54-B36B-88EC-672A56FEA73D}"/>
            </a:ext>
            <a:ext uri="{147F2762-F138-4A5C-976F-8EAC2B608ADB}">
              <a16:predDERef xmlns:a16="http://schemas.microsoft.com/office/drawing/2014/main" pred="{6383B923-69B7-43D8-A130-EFF7A7212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544830</xdr:colOff>
      <xdr:row>38</xdr:row>
      <xdr:rowOff>219075</xdr:rowOff>
    </xdr:from>
    <xdr:to>
      <xdr:col>17</xdr:col>
      <xdr:colOff>0</xdr:colOff>
      <xdr:row>51</xdr:row>
      <xdr:rowOff>137160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B1B314-554F-41E2-A43C-BBC536328F07}"/>
            </a:ext>
            <a:ext uri="{147F2762-F138-4A5C-976F-8EAC2B608ADB}">
              <a16:predDERef xmlns:a16="http://schemas.microsoft.com/office/drawing/2014/main" pred="{A05E0D24-AA54-B36B-88EC-672A56FEA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76</xdr:row>
      <xdr:rowOff>1</xdr:rowOff>
    </xdr:from>
    <xdr:to>
      <xdr:col>17</xdr:col>
      <xdr:colOff>19050</xdr:colOff>
      <xdr:row>88</xdr:row>
      <xdr:rowOff>137161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552A87-0A8F-450F-9C40-08EC90B6458B}"/>
            </a:ext>
            <a:ext uri="{147F2762-F138-4A5C-976F-8EAC2B608ADB}">
              <a16:predDERef xmlns:a16="http://schemas.microsoft.com/office/drawing/2014/main" pred="{98B1B314-554F-41E2-A43C-BBC536328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1</xdr:rowOff>
    </xdr:from>
    <xdr:to>
      <xdr:col>17</xdr:col>
      <xdr:colOff>19050</xdr:colOff>
      <xdr:row>125</xdr:row>
      <xdr:rowOff>152401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50682CD-0CA0-4A29-988D-83454C2CE49E}"/>
            </a:ext>
            <a:ext uri="{147F2762-F138-4A5C-976F-8EAC2B608ADB}">
              <a16:predDERef xmlns:a16="http://schemas.microsoft.com/office/drawing/2014/main" pred="{98B1B314-554F-41E2-A43C-BBC536328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177800</xdr:colOff>
      <xdr:row>0</xdr:row>
      <xdr:rowOff>33655</xdr:rowOff>
    </xdr:from>
    <xdr:ext cx="1571625" cy="662733"/>
    <xdr:pic>
      <xdr:nvPicPr>
        <xdr:cNvPr id="2" name="Picture 5">
          <a:extLst>
            <a:ext uri="{FF2B5EF4-FFF2-40B4-BE49-F238E27FC236}">
              <a16:creationId xmlns:a16="http://schemas.microsoft.com/office/drawing/2014/main" id="{97E0CEE8-4F69-4F8F-9BD2-A22E91782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36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204470</xdr:colOff>
      <xdr:row>37</xdr:row>
      <xdr:rowOff>90805</xdr:rowOff>
    </xdr:from>
    <xdr:ext cx="1571625" cy="662733"/>
    <xdr:pic>
      <xdr:nvPicPr>
        <xdr:cNvPr id="7" name="Picture 6">
          <a:extLst>
            <a:ext uri="{FF2B5EF4-FFF2-40B4-BE49-F238E27FC236}">
              <a16:creationId xmlns:a16="http://schemas.microsoft.com/office/drawing/2014/main" id="{C1858710-E4E3-4F9F-90BF-D6E83F8AA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35706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261620</xdr:colOff>
      <xdr:row>74</xdr:row>
      <xdr:rowOff>78105</xdr:rowOff>
    </xdr:from>
    <xdr:ext cx="1571625" cy="662733"/>
    <xdr:pic>
      <xdr:nvPicPr>
        <xdr:cNvPr id="8" name="Picture 7">
          <a:extLst>
            <a:ext uri="{FF2B5EF4-FFF2-40B4-BE49-F238E27FC236}">
              <a16:creationId xmlns:a16="http://schemas.microsoft.com/office/drawing/2014/main" id="{793D2B1A-6A15-4D48-95E3-46A0959BC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747585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217170</xdr:colOff>
      <xdr:row>111</xdr:row>
      <xdr:rowOff>90805</xdr:rowOff>
    </xdr:from>
    <xdr:ext cx="1571625" cy="662733"/>
    <xdr:pic>
      <xdr:nvPicPr>
        <xdr:cNvPr id="9" name="Picture 8">
          <a:extLst>
            <a:ext uri="{FF2B5EF4-FFF2-40B4-BE49-F238E27FC236}">
              <a16:creationId xmlns:a16="http://schemas.microsoft.com/office/drawing/2014/main" id="{5118568A-FB78-431B-BA92-A11535036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170" y="11038205"/>
          <a:ext cx="1571625" cy="662733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</xdr:col>
      <xdr:colOff>9525</xdr:colOff>
      <xdr:row>3</xdr:row>
      <xdr:rowOff>41910</xdr:rowOff>
    </xdr:from>
    <xdr:to>
      <xdr:col>17</xdr:col>
      <xdr:colOff>0</xdr:colOff>
      <xdr:row>14</xdr:row>
      <xdr:rowOff>125730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CA478F-5927-BE99-258B-A03F8752882D}"/>
            </a:ext>
            <a:ext uri="{147F2762-F138-4A5C-976F-8EAC2B608ADB}">
              <a16:predDERef xmlns:a16="http://schemas.microsoft.com/office/drawing/2014/main" pred="{5118568A-FB78-431B-BA92-A11535036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39</xdr:row>
      <xdr:rowOff>0</xdr:rowOff>
    </xdr:from>
    <xdr:to>
      <xdr:col>16</xdr:col>
      <xdr:colOff>544830</xdr:colOff>
      <xdr:row>51</xdr:row>
      <xdr:rowOff>99060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0B3E73-628F-4259-8F63-7CFAEBC98E2C}"/>
            </a:ext>
            <a:ext uri="{147F2762-F138-4A5C-976F-8EAC2B608ADB}">
              <a16:predDERef xmlns:a16="http://schemas.microsoft.com/office/drawing/2014/main" pred="{98CA478F-5927-BE99-258B-A03F87528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76</xdr:row>
      <xdr:rowOff>0</xdr:rowOff>
    </xdr:from>
    <xdr:to>
      <xdr:col>16</xdr:col>
      <xdr:colOff>544830</xdr:colOff>
      <xdr:row>88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B4B4B76-A52F-4DD2-ACD1-226765229656}"/>
            </a:ext>
            <a:ext uri="{147F2762-F138-4A5C-976F-8EAC2B608ADB}">
              <a16:predDERef xmlns:a16="http://schemas.microsoft.com/office/drawing/2014/main" pred="{F30B3E73-628F-4259-8F63-7CFAEBC98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113</xdr:row>
      <xdr:rowOff>0</xdr:rowOff>
    </xdr:from>
    <xdr:to>
      <xdr:col>16</xdr:col>
      <xdr:colOff>544830</xdr:colOff>
      <xdr:row>125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5B8D67B-FD22-4459-81BA-9638D0937825}"/>
            </a:ext>
            <a:ext uri="{147F2762-F138-4A5C-976F-8EAC2B608ADB}">
              <a16:predDERef xmlns:a16="http://schemas.microsoft.com/office/drawing/2014/main" pred="{F30B3E73-628F-4259-8F63-7CFAEBC98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-95250</xdr:colOff>
      <xdr:row>1</xdr:row>
      <xdr:rowOff>57150</xdr:rowOff>
    </xdr:from>
    <xdr:to>
      <xdr:col>0</xdr:col>
      <xdr:colOff>-91440</xdr:colOff>
      <xdr:row>1</xdr:row>
      <xdr:rowOff>60960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E33604-0EF5-42C2-A638-5E6163E9D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-95250" y="240030"/>
          <a:ext cx="3810" cy="38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40</xdr:row>
      <xdr:rowOff>47625</xdr:rowOff>
    </xdr:from>
    <xdr:to>
      <xdr:col>2</xdr:col>
      <xdr:colOff>1268730</xdr:colOff>
      <xdr:row>43</xdr:row>
      <xdr:rowOff>20748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C37B74-CE21-4580-AD66-2CA40AFB54CC}"/>
            </a:ext>
            <a:ext uri="{147F2762-F138-4A5C-976F-8EAC2B608ADB}">
              <a16:predDERef xmlns:a16="http://schemas.microsoft.com/office/drawing/2014/main" pred="{65FB05F9-F6BE-4E37-9984-DD80D230A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5198745"/>
          <a:ext cx="1544955" cy="5827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3</xdr:row>
      <xdr:rowOff>92075</xdr:rowOff>
    </xdr:from>
    <xdr:to>
      <xdr:col>2</xdr:col>
      <xdr:colOff>1211580</xdr:colOff>
      <xdr:row>6</xdr:row>
      <xdr:rowOff>129968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B42AC84-068A-4B5E-B8A2-FDE5B688849D}"/>
            </a:ext>
            <a:ext uri="{147F2762-F138-4A5C-976F-8EAC2B608ADB}">
              <a16:predDERef xmlns:a16="http://schemas.microsoft.com/office/drawing/2014/main" pred="{A6FC7E92-D77F-4A98-84C1-961417581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" y="640715"/>
          <a:ext cx="1535430" cy="6093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152400</xdr:colOff>
      <xdr:row>77</xdr:row>
      <xdr:rowOff>114300</xdr:rowOff>
    </xdr:from>
    <xdr:to>
      <xdr:col>2</xdr:col>
      <xdr:colOff>1264920</xdr:colOff>
      <xdr:row>80</xdr:row>
      <xdr:rowOff>95043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FCDD2E-5D69-432B-B199-298AA683BB8E}"/>
            </a:ext>
            <a:ext uri="{147F2762-F138-4A5C-976F-8EAC2B608ADB}">
              <a16:predDERef xmlns:a16="http://schemas.microsoft.com/office/drawing/2014/main" pred="{13B178B2-64AD-419A-8C9E-F23C6D410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9928860"/>
          <a:ext cx="1531620" cy="5903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171450</xdr:colOff>
      <xdr:row>114</xdr:row>
      <xdr:rowOff>107950</xdr:rowOff>
    </xdr:from>
    <xdr:to>
      <xdr:col>2</xdr:col>
      <xdr:colOff>1287780</xdr:colOff>
      <xdr:row>117</xdr:row>
      <xdr:rowOff>92503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897B64B-51F6-4DC5-BF95-30E62F97C2E4}"/>
            </a:ext>
            <a:ext uri="{147F2762-F138-4A5C-976F-8EAC2B608ADB}">
              <a16:predDERef xmlns:a16="http://schemas.microsoft.com/office/drawing/2014/main" pred="{A9146D5F-5A60-400C-A6DF-AEDD357A7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4585950"/>
          <a:ext cx="1535430" cy="594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171450</xdr:colOff>
      <xdr:row>153</xdr:row>
      <xdr:rowOff>114300</xdr:rowOff>
    </xdr:from>
    <xdr:to>
      <xdr:col>2</xdr:col>
      <xdr:colOff>1287780</xdr:colOff>
      <xdr:row>156</xdr:row>
      <xdr:rowOff>136953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6A2AF93-08FF-49E4-9770-11CAAD1A281A}"/>
            </a:ext>
            <a:ext uri="{147F2762-F138-4A5C-976F-8EAC2B608ADB}">
              <a16:predDERef xmlns:a16="http://schemas.microsoft.com/office/drawing/2014/main" pred="{A1EB8076-C4A8-4A95-B9DF-331496768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" y="19613880"/>
          <a:ext cx="1535430" cy="594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190</xdr:row>
      <xdr:rowOff>104775</xdr:rowOff>
    </xdr:from>
    <xdr:to>
      <xdr:col>2</xdr:col>
      <xdr:colOff>1268730</xdr:colOff>
      <xdr:row>193</xdr:row>
      <xdr:rowOff>93138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29443E6-8DD5-4F35-B8B1-B7EB9B47D84E}"/>
            </a:ext>
            <a:ext uri="{147F2762-F138-4A5C-976F-8EAC2B608ADB}">
              <a16:predDERef xmlns:a16="http://schemas.microsoft.com/office/drawing/2014/main" pred="{A7998933-7555-47E3-87FA-CA1C4A9AF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24229695"/>
          <a:ext cx="1544955" cy="5979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</xdr:colOff>
      <xdr:row>227</xdr:row>
      <xdr:rowOff>114300</xdr:rowOff>
    </xdr:from>
    <xdr:to>
      <xdr:col>2</xdr:col>
      <xdr:colOff>1270635</xdr:colOff>
      <xdr:row>230</xdr:row>
      <xdr:rowOff>95043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4B0246F-1138-4464-A39D-0B0960472863}"/>
            </a:ext>
            <a:ext uri="{147F2762-F138-4A5C-976F-8EAC2B608ADB}">
              <a16:predDERef xmlns:a16="http://schemas.microsoft.com/office/drawing/2014/main" pred="{7746E51D-FECF-4030-96C2-1B9EBE3F1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" y="28895040"/>
          <a:ext cx="1527810" cy="5903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263</xdr:row>
      <xdr:rowOff>142875</xdr:rowOff>
    </xdr:from>
    <xdr:to>
      <xdr:col>2</xdr:col>
      <xdr:colOff>1268730</xdr:colOff>
      <xdr:row>266</xdr:row>
      <xdr:rowOff>136953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DD6C18B-0599-4EFC-915F-E6A2A7DEFDC1}"/>
            </a:ext>
            <a:ext uri="{147F2762-F138-4A5C-976F-8EAC2B608ADB}">
              <a16:predDERef xmlns:a16="http://schemas.microsoft.com/office/drawing/2014/main" pred="{57DD17B9-56F6-49A3-A953-CB12B0BBC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" y="33396555"/>
          <a:ext cx="1544955" cy="5884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</xdr:colOff>
      <xdr:row>303</xdr:row>
      <xdr:rowOff>79375</xdr:rowOff>
    </xdr:from>
    <xdr:to>
      <xdr:col>2</xdr:col>
      <xdr:colOff>1270635</xdr:colOff>
      <xdr:row>306</xdr:row>
      <xdr:rowOff>113458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0BE659D-94E5-4BD0-83F3-7E82E9D126F0}"/>
            </a:ext>
            <a:ext uri="{147F2762-F138-4A5C-976F-8EAC2B608ADB}">
              <a16:predDERef xmlns:a16="http://schemas.microsoft.com/office/drawing/2014/main" pred="{83F21157-9D0D-406A-9502-68964F419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" y="38545135"/>
          <a:ext cx="1527810" cy="6055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180975</xdr:colOff>
      <xdr:row>340</xdr:row>
      <xdr:rowOff>114300</xdr:rowOff>
    </xdr:from>
    <xdr:to>
      <xdr:col>2</xdr:col>
      <xdr:colOff>1306830</xdr:colOff>
      <xdr:row>343</xdr:row>
      <xdr:rowOff>95043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437B897-0CA1-4626-A25E-65CF617C2156}"/>
            </a:ext>
            <a:ext uri="{147F2762-F138-4A5C-976F-8EAC2B608ADB}">
              <a16:predDERef xmlns:a16="http://schemas.microsoft.com/office/drawing/2014/main" pred="{917896D5-0798-46F7-9ED2-1A74B23DF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" y="43197780"/>
          <a:ext cx="1544955" cy="5903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200025</xdr:colOff>
      <xdr:row>377</xdr:row>
      <xdr:rowOff>95250</xdr:rowOff>
    </xdr:from>
    <xdr:to>
      <xdr:col>2</xdr:col>
      <xdr:colOff>1308735</xdr:colOff>
      <xdr:row>380</xdr:row>
      <xdr:rowOff>60753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EF425B9-D594-4CBC-995B-CDB09E5CCF6C}"/>
            </a:ext>
            <a:ext uri="{147F2762-F138-4A5C-976F-8EAC2B608ADB}">
              <a16:predDERef xmlns:a16="http://schemas.microsoft.com/office/drawing/2014/main" pred="{21B228D0-AC62-4ED6-839E-DC60D2D45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" y="47834550"/>
          <a:ext cx="1527810" cy="5751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414</xdr:row>
      <xdr:rowOff>114300</xdr:rowOff>
    </xdr:from>
    <xdr:to>
      <xdr:col>2</xdr:col>
      <xdr:colOff>1211580</xdr:colOff>
      <xdr:row>417</xdr:row>
      <xdr:rowOff>95043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EC84365-5627-4BFE-B8E9-B4A6367AF5DE}"/>
            </a:ext>
            <a:ext uri="{147F2762-F138-4A5C-976F-8EAC2B608ADB}">
              <a16:predDERef xmlns:a16="http://schemas.microsoft.com/office/drawing/2014/main" pred="{63B2DFAC-E050-45C3-AD7C-4A92B661F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" y="52517040"/>
          <a:ext cx="1535430" cy="5903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123825</xdr:colOff>
      <xdr:row>454</xdr:row>
      <xdr:rowOff>76200</xdr:rowOff>
    </xdr:from>
    <xdr:to>
      <xdr:col>2</xdr:col>
      <xdr:colOff>1232535</xdr:colOff>
      <xdr:row>457</xdr:row>
      <xdr:rowOff>98853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2516A0F-0AAD-4DF9-88EB-D47B580B8A29}"/>
            </a:ext>
            <a:ext uri="{147F2762-F138-4A5C-976F-8EAC2B608ADB}">
              <a16:predDERef xmlns:a16="http://schemas.microsoft.com/office/drawing/2014/main" pred="{21D4948E-D17A-46B6-84FE-C8EBB5E81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57698640"/>
          <a:ext cx="1527810" cy="594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491</xdr:row>
      <xdr:rowOff>85725</xdr:rowOff>
    </xdr:from>
    <xdr:to>
      <xdr:col>2</xdr:col>
      <xdr:colOff>1230630</xdr:colOff>
      <xdr:row>494</xdr:row>
      <xdr:rowOff>58848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67D60F3-0CD5-45FC-81E3-EC4A08302115}"/>
            </a:ext>
            <a:ext uri="{147F2762-F138-4A5C-976F-8EAC2B608ADB}">
              <a16:predDERef xmlns:a16="http://schemas.microsoft.com/office/drawing/2014/main" pred="{84ED0D62-FC77-4D8C-B05D-CC506D8F4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" y="62348745"/>
          <a:ext cx="1544955" cy="5827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152400</xdr:colOff>
      <xdr:row>528</xdr:row>
      <xdr:rowOff>47625</xdr:rowOff>
    </xdr:from>
    <xdr:to>
      <xdr:col>2</xdr:col>
      <xdr:colOff>1264920</xdr:colOff>
      <xdr:row>531</xdr:row>
      <xdr:rowOff>20748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394D636-B1BC-4E07-AE0A-B32BF263C188}"/>
            </a:ext>
            <a:ext uri="{147F2762-F138-4A5C-976F-8EAC2B608ADB}">
              <a16:predDERef xmlns:a16="http://schemas.microsoft.com/office/drawing/2014/main" pred="{4AB9C0D9-D416-4FE2-A4B3-2818EC08C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66966465"/>
          <a:ext cx="1531620" cy="5827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565</xdr:row>
      <xdr:rowOff>19050</xdr:rowOff>
    </xdr:from>
    <xdr:to>
      <xdr:col>2</xdr:col>
      <xdr:colOff>1211580</xdr:colOff>
      <xdr:row>567</xdr:row>
      <xdr:rowOff>175053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2D3A60C-CCCE-4AC5-99C2-D27C4930EEC7}"/>
            </a:ext>
            <a:ext uri="{147F2762-F138-4A5C-976F-8EAC2B608ADB}">
              <a16:predDERef xmlns:a16="http://schemas.microsoft.com/office/drawing/2014/main" pred="{F3631BAC-7F01-4243-9E13-9C7BAAAB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" y="71601330"/>
          <a:ext cx="1535430" cy="5674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605</xdr:row>
      <xdr:rowOff>114300</xdr:rowOff>
    </xdr:from>
    <xdr:to>
      <xdr:col>2</xdr:col>
      <xdr:colOff>1194435</xdr:colOff>
      <xdr:row>608</xdr:row>
      <xdr:rowOff>136953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EE5D971C-C315-46BD-B3D5-3D200E090593}"/>
            </a:ext>
            <a:ext uri="{147F2762-F138-4A5C-976F-8EAC2B608ADB}">
              <a16:predDERef xmlns:a16="http://schemas.microsoft.com/office/drawing/2014/main" pred="{5E4C81F4-DEBF-4F4A-9086-74CB33935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76939140"/>
          <a:ext cx="1527810" cy="5941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104775</xdr:colOff>
      <xdr:row>642</xdr:row>
      <xdr:rowOff>28575</xdr:rowOff>
    </xdr:from>
    <xdr:to>
      <xdr:col>2</xdr:col>
      <xdr:colOff>1230630</xdr:colOff>
      <xdr:row>645</xdr:row>
      <xdr:rowOff>16938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A4BE1A8-118D-4B98-A408-9D131143A465}"/>
            </a:ext>
            <a:ext uri="{147F2762-F138-4A5C-976F-8EAC2B608ADB}">
              <a16:predDERef xmlns:a16="http://schemas.microsoft.com/office/drawing/2014/main" pred="{379387FA-8EEB-42F4-84B0-763DF84D9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" y="81539715"/>
          <a:ext cx="1544955" cy="5979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679</xdr:row>
      <xdr:rowOff>104775</xdr:rowOff>
    </xdr:from>
    <xdr:to>
      <xdr:col>2</xdr:col>
      <xdr:colOff>1226820</xdr:colOff>
      <xdr:row>682</xdr:row>
      <xdr:rowOff>93138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19E2DE3-35B5-4963-A497-4856FA756CB0}"/>
            </a:ext>
            <a:ext uri="{147F2762-F138-4A5C-976F-8EAC2B608ADB}">
              <a16:predDERef xmlns:a16="http://schemas.microsoft.com/office/drawing/2014/main" pred="{F9F6A28B-5FEA-49AA-B17A-A6324E453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86309835"/>
          <a:ext cx="1531620" cy="5979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716</xdr:row>
      <xdr:rowOff>66675</xdr:rowOff>
    </xdr:from>
    <xdr:to>
      <xdr:col>2</xdr:col>
      <xdr:colOff>1226820</xdr:colOff>
      <xdr:row>719</xdr:row>
      <xdr:rowOff>55038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148E05A-2CE2-4CDE-85B5-B950E894864A}"/>
            </a:ext>
            <a:ext uri="{147F2762-F138-4A5C-976F-8EAC2B608ADB}">
              <a16:predDERef xmlns:a16="http://schemas.microsoft.com/office/drawing/2014/main" pred="{DA0D1238-54E4-45B0-B950-19026F213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90935175"/>
          <a:ext cx="1531620" cy="597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18C08-89A6-4222-986E-F7583D510FCD}">
  <sheetPr codeName="Sheet1"/>
  <dimension ref="A2:A6"/>
  <sheetViews>
    <sheetView workbookViewId="0">
      <selection activeCell="A2" sqref="A2:A6"/>
    </sheetView>
  </sheetViews>
  <sheetFormatPr defaultRowHeight="13.8" x14ac:dyDescent="0.25"/>
  <sheetData>
    <row r="2" spans="1:1" ht="14.4" x14ac:dyDescent="0.3">
      <c r="A2" s="2" t="s">
        <v>0</v>
      </c>
    </row>
    <row r="3" spans="1:1" ht="14.4" x14ac:dyDescent="0.3">
      <c r="A3" s="2" t="s">
        <v>1</v>
      </c>
    </row>
    <row r="4" spans="1:1" ht="14.4" x14ac:dyDescent="0.3">
      <c r="A4" s="2" t="s">
        <v>2</v>
      </c>
    </row>
    <row r="5" spans="1:1" ht="14.4" x14ac:dyDescent="0.3">
      <c r="A5" s="2" t="s">
        <v>3</v>
      </c>
    </row>
    <row r="6" spans="1:1" ht="14.4" x14ac:dyDescent="0.3">
      <c r="A6" s="2" t="s">
        <v>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CCB99-DA5A-4334-A77E-84E48CCEA93D}">
  <dimension ref="A1:O752"/>
  <sheetViews>
    <sheetView topLeftCell="A690" workbookViewId="0">
      <selection activeCell="I718" sqref="I718"/>
    </sheetView>
  </sheetViews>
  <sheetFormatPr defaultRowHeight="13.8" x14ac:dyDescent="0.25"/>
  <cols>
    <col min="1" max="1" width="2.625" customWidth="1"/>
    <col min="2" max="2" width="6.875" customWidth="1"/>
    <col min="3" max="3" width="24" style="101" customWidth="1"/>
    <col min="4" max="4" width="18.625" style="102" customWidth="1"/>
    <col min="5" max="5" width="13" style="102" customWidth="1"/>
    <col min="6" max="6" width="15.125" style="102" customWidth="1"/>
    <col min="7" max="7" width="14.625" style="102" customWidth="1"/>
    <col min="8" max="8" width="22.375" style="100" customWidth="1"/>
    <col min="9" max="9" width="11.375" customWidth="1"/>
    <col min="10" max="10" width="12.375" customWidth="1"/>
  </cols>
  <sheetData>
    <row r="1" spans="1:9" ht="14.4" x14ac:dyDescent="0.3">
      <c r="A1" s="3"/>
      <c r="B1" s="69" t="s">
        <v>55</v>
      </c>
      <c r="C1" s="70"/>
      <c r="D1" s="71"/>
      <c r="E1" s="71"/>
      <c r="F1" s="71"/>
      <c r="G1" s="71"/>
      <c r="H1" s="72"/>
      <c r="I1" s="3"/>
    </row>
    <row r="2" spans="1:9" ht="14.4" x14ac:dyDescent="0.3">
      <c r="A2" s="3"/>
      <c r="B2" s="69" t="s">
        <v>56</v>
      </c>
      <c r="C2" s="70"/>
      <c r="D2" s="71"/>
      <c r="E2" s="71" t="s">
        <v>57</v>
      </c>
      <c r="F2" s="71" t="s">
        <v>57</v>
      </c>
      <c r="G2" s="71" t="s">
        <v>57</v>
      </c>
      <c r="H2" s="72" t="s">
        <v>57</v>
      </c>
      <c r="I2" s="3"/>
    </row>
    <row r="3" spans="1:9" ht="14.4" x14ac:dyDescent="0.3">
      <c r="A3" s="3"/>
      <c r="B3" s="69"/>
      <c r="C3" s="70"/>
      <c r="D3" s="71"/>
      <c r="E3" s="71"/>
      <c r="F3" s="71"/>
      <c r="G3" s="71"/>
      <c r="H3" s="72"/>
      <c r="I3" s="3"/>
    </row>
    <row r="4" spans="1:9" ht="14.4" x14ac:dyDescent="0.3">
      <c r="A4" s="3"/>
      <c r="B4" s="3"/>
      <c r="C4" s="73"/>
      <c r="D4" s="74"/>
      <c r="E4" s="74"/>
      <c r="F4" s="74"/>
      <c r="G4" s="74"/>
      <c r="H4" s="41"/>
      <c r="I4" s="3"/>
    </row>
    <row r="5" spans="1:9" ht="14.4" x14ac:dyDescent="0.3">
      <c r="A5" s="3"/>
      <c r="B5" s="3"/>
      <c r="C5" s="73"/>
      <c r="D5" s="74"/>
      <c r="E5" s="74"/>
      <c r="F5" s="74"/>
      <c r="G5" s="74"/>
      <c r="H5" s="41"/>
      <c r="I5" s="3"/>
    </row>
    <row r="6" spans="1:9" ht="16.5" customHeight="1" x14ac:dyDescent="0.35">
      <c r="A6" s="34"/>
      <c r="B6" s="35" t="s">
        <v>57</v>
      </c>
      <c r="C6" s="75" t="s">
        <v>57</v>
      </c>
      <c r="D6" s="187" t="s">
        <v>58</v>
      </c>
      <c r="E6" s="187"/>
      <c r="F6" s="187"/>
      <c r="G6" s="187"/>
      <c r="H6" s="187"/>
      <c r="I6" s="2" t="s">
        <v>0</v>
      </c>
    </row>
    <row r="7" spans="1:9" ht="15.9" customHeight="1" x14ac:dyDescent="0.3">
      <c r="A7" s="3"/>
      <c r="B7" s="128" t="s">
        <v>84</v>
      </c>
      <c r="C7" s="128"/>
      <c r="D7" s="128"/>
      <c r="E7" s="128"/>
      <c r="F7" s="128"/>
      <c r="G7" s="128"/>
      <c r="H7" s="128"/>
      <c r="I7" s="2" t="s">
        <v>1</v>
      </c>
    </row>
    <row r="8" spans="1:9" ht="14.4" customHeight="1" x14ac:dyDescent="0.3">
      <c r="A8" s="3"/>
      <c r="B8" s="15"/>
      <c r="C8" s="16"/>
      <c r="D8" s="118" t="s">
        <v>6</v>
      </c>
      <c r="E8" s="118"/>
      <c r="F8" s="118"/>
      <c r="G8" s="118"/>
      <c r="H8" s="188"/>
      <c r="I8" s="2" t="s">
        <v>2</v>
      </c>
    </row>
    <row r="9" spans="1:9" ht="14.4" x14ac:dyDescent="0.3">
      <c r="A9" s="3"/>
      <c r="B9" s="13"/>
      <c r="C9" s="14"/>
      <c r="D9" s="125" t="s">
        <v>9</v>
      </c>
      <c r="E9" s="125"/>
      <c r="F9" s="125"/>
      <c r="G9" s="125"/>
      <c r="H9" s="188"/>
      <c r="I9" s="2" t="s">
        <v>3</v>
      </c>
    </row>
    <row r="10" spans="1:9" ht="14.4" customHeight="1" x14ac:dyDescent="0.3">
      <c r="A10" s="3"/>
      <c r="B10" s="132" t="s">
        <v>10</v>
      </c>
      <c r="C10" s="189" t="s">
        <v>11</v>
      </c>
      <c r="D10" s="62" t="s">
        <v>12</v>
      </c>
      <c r="E10" s="62" t="s">
        <v>13</v>
      </c>
      <c r="F10" s="62" t="s">
        <v>14</v>
      </c>
      <c r="G10" s="76" t="s">
        <v>15</v>
      </c>
      <c r="H10" s="190"/>
      <c r="I10" s="2" t="s">
        <v>4</v>
      </c>
    </row>
    <row r="11" spans="1:9" ht="14.4" x14ac:dyDescent="0.3">
      <c r="A11" s="3"/>
      <c r="B11" s="132"/>
      <c r="C11" s="189"/>
      <c r="D11" s="145" t="s">
        <v>20</v>
      </c>
      <c r="E11" s="145"/>
      <c r="F11" s="145"/>
      <c r="G11" s="145"/>
      <c r="H11" s="190"/>
      <c r="I11" s="3"/>
    </row>
    <row r="12" spans="1:9" ht="14.4" x14ac:dyDescent="0.3">
      <c r="A12" s="3"/>
      <c r="B12" s="42">
        <v>4</v>
      </c>
      <c r="C12" s="77" t="s">
        <v>21</v>
      </c>
      <c r="D12" s="78">
        <v>238649.5</v>
      </c>
      <c r="E12" s="21">
        <v>0</v>
      </c>
      <c r="F12" s="79">
        <v>238649.5</v>
      </c>
      <c r="G12" s="80">
        <v>238649.5</v>
      </c>
      <c r="H12" s="81" t="s">
        <v>57</v>
      </c>
      <c r="I12" s="3"/>
    </row>
    <row r="13" spans="1:9" ht="14.4" x14ac:dyDescent="0.3">
      <c r="A13" s="3"/>
      <c r="B13" s="82">
        <v>5</v>
      </c>
      <c r="C13" s="83" t="s">
        <v>22</v>
      </c>
      <c r="D13" s="78">
        <v>1725098.5</v>
      </c>
      <c r="E13" s="26">
        <v>0</v>
      </c>
      <c r="F13" s="79">
        <v>1725098.5</v>
      </c>
      <c r="G13" s="80">
        <v>1963748</v>
      </c>
      <c r="H13" s="81" t="s">
        <v>57</v>
      </c>
      <c r="I13" s="41"/>
    </row>
    <row r="14" spans="1:9" ht="14.4" x14ac:dyDescent="0.3">
      <c r="A14" s="3"/>
      <c r="B14" s="82">
        <v>6</v>
      </c>
      <c r="C14" s="83" t="s">
        <v>23</v>
      </c>
      <c r="D14" s="78">
        <v>2950114.79</v>
      </c>
      <c r="E14" s="26">
        <v>0</v>
      </c>
      <c r="F14" s="79">
        <v>2950114.79</v>
      </c>
      <c r="G14" s="80">
        <v>4913862.79</v>
      </c>
      <c r="H14" s="81" t="s">
        <v>57</v>
      </c>
      <c r="I14" s="3"/>
    </row>
    <row r="15" spans="1:9" ht="14.4" x14ac:dyDescent="0.3">
      <c r="A15" s="3"/>
      <c r="B15" s="82">
        <v>7</v>
      </c>
      <c r="C15" s="83" t="s">
        <v>24</v>
      </c>
      <c r="D15" s="78">
        <v>1497270.22</v>
      </c>
      <c r="E15" s="26">
        <v>831062.5</v>
      </c>
      <c r="F15" s="79">
        <f>1497270.22+831062.5</f>
        <v>2328332.7199999997</v>
      </c>
      <c r="G15" s="80">
        <f>4913862.79+2328332.72</f>
        <v>7242195.5099999998</v>
      </c>
      <c r="H15" s="81" t="s">
        <v>57</v>
      </c>
      <c r="I15" s="3"/>
    </row>
    <row r="16" spans="1:9" s="3" customFormat="1" ht="14.4" x14ac:dyDescent="0.3">
      <c r="B16" s="42">
        <v>8</v>
      </c>
      <c r="C16" s="40" t="s">
        <v>25</v>
      </c>
      <c r="D16" s="26">
        <v>1809356.01</v>
      </c>
      <c r="E16" s="26">
        <v>0</v>
      </c>
      <c r="F16" s="49">
        <f t="shared" ref="F16:F34" si="0">+E16+D16</f>
        <v>1809356.01</v>
      </c>
      <c r="G16" s="84">
        <f>+G15+F16</f>
        <v>9051551.5199999996</v>
      </c>
      <c r="H16" s="81"/>
      <c r="I16" s="85"/>
    </row>
    <row r="17" spans="2:10" s="3" customFormat="1" ht="14.4" x14ac:dyDescent="0.3">
      <c r="B17" s="42">
        <v>9</v>
      </c>
      <c r="C17" s="40" t="s">
        <v>26</v>
      </c>
      <c r="D17" s="26">
        <v>1401684.53</v>
      </c>
      <c r="E17" s="26">
        <v>0</v>
      </c>
      <c r="F17" s="49">
        <f t="shared" si="0"/>
        <v>1401684.53</v>
      </c>
      <c r="G17" s="84">
        <f t="shared" ref="G17:G34" si="1">+G16+F17</f>
        <v>10453236.049999999</v>
      </c>
      <c r="H17" s="81"/>
      <c r="I17" s="44"/>
      <c r="J17" s="44"/>
    </row>
    <row r="18" spans="2:10" s="3" customFormat="1" ht="14.4" x14ac:dyDescent="0.3">
      <c r="B18" s="42">
        <v>10</v>
      </c>
      <c r="C18" s="40" t="s">
        <v>67</v>
      </c>
      <c r="D18" s="26">
        <v>1938633.5</v>
      </c>
      <c r="E18" s="26">
        <v>0</v>
      </c>
      <c r="F18" s="49">
        <f t="shared" si="0"/>
        <v>1938633.5</v>
      </c>
      <c r="G18" s="84">
        <f t="shared" si="1"/>
        <v>12391869.549999999</v>
      </c>
      <c r="H18" s="81"/>
      <c r="I18" s="44"/>
      <c r="J18" s="44"/>
    </row>
    <row r="19" spans="2:10" s="3" customFormat="1" ht="14.4" x14ac:dyDescent="0.3">
      <c r="B19" s="42">
        <v>11</v>
      </c>
      <c r="C19" s="40" t="s">
        <v>68</v>
      </c>
      <c r="D19" s="26">
        <v>924184.5</v>
      </c>
      <c r="E19" s="26">
        <v>0</v>
      </c>
      <c r="F19" s="49">
        <f t="shared" si="0"/>
        <v>924184.5</v>
      </c>
      <c r="G19" s="84">
        <f t="shared" si="1"/>
        <v>13316054.049999999</v>
      </c>
      <c r="H19" s="81"/>
      <c r="I19" s="44"/>
      <c r="J19" s="44"/>
    </row>
    <row r="20" spans="2:10" s="3" customFormat="1" ht="14.4" x14ac:dyDescent="0.3">
      <c r="B20" s="42">
        <v>12</v>
      </c>
      <c r="C20" s="40" t="s">
        <v>83</v>
      </c>
      <c r="D20" s="26">
        <v>981003.01</v>
      </c>
      <c r="E20" s="26">
        <v>0</v>
      </c>
      <c r="F20" s="49">
        <f t="shared" si="0"/>
        <v>981003.01</v>
      </c>
      <c r="G20" s="84">
        <f t="shared" si="1"/>
        <v>14297057.059999999</v>
      </c>
      <c r="H20" s="81"/>
      <c r="I20" s="44"/>
      <c r="J20" s="44"/>
    </row>
    <row r="21" spans="2:10" s="3" customFormat="1" ht="14.4" x14ac:dyDescent="0.3">
      <c r="B21" s="42">
        <v>13</v>
      </c>
      <c r="C21" s="40" t="s">
        <v>69</v>
      </c>
      <c r="D21" s="26">
        <v>757691.52</v>
      </c>
      <c r="E21" s="26">
        <v>0</v>
      </c>
      <c r="F21" s="49">
        <f t="shared" si="0"/>
        <v>757691.52</v>
      </c>
      <c r="G21" s="84">
        <f t="shared" si="1"/>
        <v>15054748.579999998</v>
      </c>
      <c r="H21" s="81"/>
      <c r="I21" s="44"/>
      <c r="J21" s="44"/>
    </row>
    <row r="22" spans="2:10" s="3" customFormat="1" ht="13.8" customHeight="1" x14ac:dyDescent="0.3">
      <c r="B22" s="42">
        <v>14</v>
      </c>
      <c r="C22" s="86" t="s">
        <v>70</v>
      </c>
      <c r="D22" s="26">
        <v>158016</v>
      </c>
      <c r="E22" s="26">
        <v>0</v>
      </c>
      <c r="F22" s="49">
        <f t="shared" si="0"/>
        <v>158016</v>
      </c>
      <c r="G22" s="84">
        <f t="shared" si="1"/>
        <v>15212764.579999998</v>
      </c>
      <c r="H22" s="81"/>
      <c r="I22" s="44"/>
      <c r="J22" s="44"/>
    </row>
    <row r="23" spans="2:10" s="3" customFormat="1" ht="14.4" hidden="1" x14ac:dyDescent="0.3">
      <c r="B23" s="42">
        <v>15</v>
      </c>
      <c r="C23" s="40" t="s">
        <v>71</v>
      </c>
      <c r="D23" s="26"/>
      <c r="E23" s="26"/>
      <c r="F23" s="49">
        <f t="shared" si="0"/>
        <v>0</v>
      </c>
      <c r="G23" s="84">
        <f t="shared" si="1"/>
        <v>15212764.579999998</v>
      </c>
      <c r="H23" s="81"/>
      <c r="I23" s="44"/>
      <c r="J23" s="44"/>
    </row>
    <row r="24" spans="2:10" s="3" customFormat="1" ht="14.4" hidden="1" x14ac:dyDescent="0.3">
      <c r="B24" s="42">
        <v>16</v>
      </c>
      <c r="C24" s="40" t="s">
        <v>72</v>
      </c>
      <c r="D24" s="26"/>
      <c r="E24" s="26"/>
      <c r="F24" s="49">
        <f t="shared" si="0"/>
        <v>0</v>
      </c>
      <c r="G24" s="84">
        <f t="shared" si="1"/>
        <v>15212764.579999998</v>
      </c>
      <c r="H24" s="81"/>
      <c r="I24" s="44"/>
      <c r="J24" s="44"/>
    </row>
    <row r="25" spans="2:10" s="3" customFormat="1" ht="14.4" hidden="1" x14ac:dyDescent="0.3">
      <c r="B25" s="42">
        <v>17</v>
      </c>
      <c r="C25" s="40" t="s">
        <v>73</v>
      </c>
      <c r="D25" s="26"/>
      <c r="E25" s="26"/>
      <c r="F25" s="49">
        <f t="shared" si="0"/>
        <v>0</v>
      </c>
      <c r="G25" s="84">
        <f t="shared" si="1"/>
        <v>15212764.579999998</v>
      </c>
      <c r="H25" s="81"/>
      <c r="I25" s="44"/>
      <c r="J25" s="44"/>
    </row>
    <row r="26" spans="2:10" s="3" customFormat="1" ht="14.4" hidden="1" x14ac:dyDescent="0.3">
      <c r="B26" s="42">
        <v>18</v>
      </c>
      <c r="C26" s="40" t="s">
        <v>74</v>
      </c>
      <c r="D26" s="26"/>
      <c r="E26" s="26"/>
      <c r="F26" s="49">
        <f t="shared" si="0"/>
        <v>0</v>
      </c>
      <c r="G26" s="84">
        <f t="shared" si="1"/>
        <v>15212764.579999998</v>
      </c>
      <c r="H26" s="81"/>
      <c r="I26" s="44"/>
      <c r="J26" s="44"/>
    </row>
    <row r="27" spans="2:10" s="3" customFormat="1" ht="14.4" hidden="1" x14ac:dyDescent="0.3">
      <c r="B27" s="42">
        <v>19</v>
      </c>
      <c r="C27" s="40" t="s">
        <v>75</v>
      </c>
      <c r="D27" s="26"/>
      <c r="E27" s="26"/>
      <c r="F27" s="49">
        <f t="shared" si="0"/>
        <v>0</v>
      </c>
      <c r="G27" s="84">
        <f t="shared" si="1"/>
        <v>15212764.579999998</v>
      </c>
      <c r="H27" s="81"/>
      <c r="I27" s="44"/>
      <c r="J27" s="44"/>
    </row>
    <row r="28" spans="2:10" s="3" customFormat="1" ht="14.4" hidden="1" x14ac:dyDescent="0.3">
      <c r="B28" s="42">
        <v>20</v>
      </c>
      <c r="C28" s="40" t="s">
        <v>76</v>
      </c>
      <c r="D28" s="26"/>
      <c r="E28" s="26"/>
      <c r="F28" s="49">
        <f t="shared" si="0"/>
        <v>0</v>
      </c>
      <c r="G28" s="84">
        <f t="shared" si="1"/>
        <v>15212764.579999998</v>
      </c>
      <c r="H28" s="81"/>
      <c r="I28" s="44"/>
      <c r="J28" s="44"/>
    </row>
    <row r="29" spans="2:10" s="3" customFormat="1" ht="14.4" hidden="1" x14ac:dyDescent="0.3">
      <c r="B29" s="42">
        <v>21</v>
      </c>
      <c r="C29" s="40" t="s">
        <v>77</v>
      </c>
      <c r="D29" s="26"/>
      <c r="E29" s="26"/>
      <c r="F29" s="49">
        <f t="shared" si="0"/>
        <v>0</v>
      </c>
      <c r="G29" s="84">
        <f t="shared" si="1"/>
        <v>15212764.579999998</v>
      </c>
      <c r="H29" s="81"/>
      <c r="I29" s="44"/>
      <c r="J29" s="44"/>
    </row>
    <row r="30" spans="2:10" s="3" customFormat="1" ht="14.4" hidden="1" x14ac:dyDescent="0.3">
      <c r="B30" s="42">
        <v>22</v>
      </c>
      <c r="C30" s="40" t="s">
        <v>78</v>
      </c>
      <c r="D30" s="26"/>
      <c r="E30" s="26"/>
      <c r="F30" s="49">
        <f t="shared" si="0"/>
        <v>0</v>
      </c>
      <c r="G30" s="84">
        <f t="shared" si="1"/>
        <v>15212764.579999998</v>
      </c>
      <c r="H30" s="81"/>
      <c r="I30" s="44"/>
      <c r="J30" s="44"/>
    </row>
    <row r="31" spans="2:10" s="3" customFormat="1" ht="14.4" hidden="1" x14ac:dyDescent="0.3">
      <c r="B31" s="42">
        <v>23</v>
      </c>
      <c r="C31" s="40" t="s">
        <v>79</v>
      </c>
      <c r="D31" s="26"/>
      <c r="E31" s="26"/>
      <c r="F31" s="49">
        <f t="shared" si="0"/>
        <v>0</v>
      </c>
      <c r="G31" s="84">
        <f t="shared" si="1"/>
        <v>15212764.579999998</v>
      </c>
      <c r="H31" s="81"/>
      <c r="I31" s="44"/>
      <c r="J31" s="44"/>
    </row>
    <row r="32" spans="2:10" s="3" customFormat="1" ht="14.4" hidden="1" x14ac:dyDescent="0.3">
      <c r="B32" s="42">
        <v>24</v>
      </c>
      <c r="C32" s="40" t="s">
        <v>80</v>
      </c>
      <c r="D32" s="26"/>
      <c r="E32" s="26"/>
      <c r="F32" s="49">
        <f t="shared" si="0"/>
        <v>0</v>
      </c>
      <c r="G32" s="84">
        <f t="shared" si="1"/>
        <v>15212764.579999998</v>
      </c>
      <c r="H32" s="81"/>
      <c r="I32" s="44"/>
      <c r="J32" s="44"/>
    </row>
    <row r="33" spans="1:10" s="3" customFormat="1" ht="14.4" hidden="1" x14ac:dyDescent="0.3">
      <c r="B33" s="42">
        <v>25</v>
      </c>
      <c r="C33" s="87" t="s">
        <v>81</v>
      </c>
      <c r="D33" s="26"/>
      <c r="E33" s="26"/>
      <c r="F33" s="49">
        <f t="shared" si="0"/>
        <v>0</v>
      </c>
      <c r="G33" s="84">
        <f t="shared" si="1"/>
        <v>15212764.579999998</v>
      </c>
      <c r="H33" s="81"/>
      <c r="I33" s="44"/>
      <c r="J33" s="44"/>
    </row>
    <row r="34" spans="1:10" s="3" customFormat="1" ht="14.4" hidden="1" x14ac:dyDescent="0.3">
      <c r="B34" s="42">
        <v>26</v>
      </c>
      <c r="C34" s="87" t="s">
        <v>82</v>
      </c>
      <c r="D34" s="33"/>
      <c r="E34" s="33"/>
      <c r="F34" s="66">
        <f t="shared" si="0"/>
        <v>0</v>
      </c>
      <c r="G34" s="88">
        <f t="shared" si="1"/>
        <v>15212764.579999998</v>
      </c>
      <c r="H34" s="81"/>
      <c r="I34" s="44"/>
      <c r="J34" s="44"/>
    </row>
    <row r="35" spans="1:10" ht="14.4" x14ac:dyDescent="0.3">
      <c r="A35" s="3"/>
      <c r="B35" s="5" t="s">
        <v>57</v>
      </c>
      <c r="C35" s="89" t="s">
        <v>57</v>
      </c>
      <c r="D35" s="90" t="s">
        <v>57</v>
      </c>
      <c r="E35" s="90" t="s">
        <v>57</v>
      </c>
      <c r="F35" s="90" t="s">
        <v>57</v>
      </c>
      <c r="G35" s="90" t="s">
        <v>57</v>
      </c>
      <c r="H35" s="6" t="s">
        <v>57</v>
      </c>
      <c r="I35" s="3"/>
    </row>
    <row r="36" spans="1:10" ht="14.4" x14ac:dyDescent="0.3">
      <c r="A36" s="3"/>
      <c r="B36" s="8" t="s">
        <v>39</v>
      </c>
      <c r="C36" s="91"/>
      <c r="D36" s="90" t="s">
        <v>57</v>
      </c>
      <c r="E36" s="90" t="s">
        <v>57</v>
      </c>
      <c r="F36" s="90" t="s">
        <v>57</v>
      </c>
      <c r="G36" s="90" t="s">
        <v>57</v>
      </c>
      <c r="H36" s="6" t="s">
        <v>57</v>
      </c>
      <c r="I36" s="3"/>
    </row>
    <row r="37" spans="1:10" ht="14.4" x14ac:dyDescent="0.3">
      <c r="A37" s="3"/>
      <c r="B37" s="9" t="s">
        <v>40</v>
      </c>
      <c r="C37" s="5"/>
      <c r="D37" s="6"/>
      <c r="E37" s="6"/>
      <c r="F37" s="92"/>
      <c r="G37" s="92"/>
      <c r="H37" s="93"/>
      <c r="I37" s="3"/>
    </row>
    <row r="38" spans="1:10" ht="14.4" x14ac:dyDescent="0.3">
      <c r="A38" s="3"/>
      <c r="B38" s="9" t="s">
        <v>41</v>
      </c>
      <c r="C38" s="5"/>
      <c r="D38" s="6"/>
      <c r="E38" s="6"/>
      <c r="F38" s="92"/>
      <c r="G38" s="90" t="s">
        <v>57</v>
      </c>
      <c r="H38" s="6" t="s">
        <v>57</v>
      </c>
      <c r="I38" s="3"/>
    </row>
    <row r="39" spans="1:10" ht="14.4" x14ac:dyDescent="0.3">
      <c r="A39" s="3"/>
      <c r="B39" s="9" t="s">
        <v>42</v>
      </c>
      <c r="C39" s="5"/>
      <c r="D39" s="6"/>
      <c r="E39" s="6"/>
      <c r="F39" s="90" t="s">
        <v>57</v>
      </c>
      <c r="G39" s="90" t="s">
        <v>57</v>
      </c>
      <c r="H39" s="6" t="s">
        <v>57</v>
      </c>
      <c r="I39" s="3"/>
    </row>
    <row r="40" spans="1:10" ht="14.4" x14ac:dyDescent="0.3">
      <c r="A40" s="3"/>
      <c r="B40" s="9" t="s">
        <v>57</v>
      </c>
      <c r="C40" s="89" t="s">
        <v>57</v>
      </c>
      <c r="D40" s="90" t="s">
        <v>57</v>
      </c>
      <c r="E40" s="90" t="s">
        <v>57</v>
      </c>
      <c r="F40" s="90" t="s">
        <v>57</v>
      </c>
      <c r="G40" s="90" t="s">
        <v>57</v>
      </c>
      <c r="H40" s="6" t="s">
        <v>57</v>
      </c>
      <c r="I40" s="3"/>
    </row>
    <row r="41" spans="1:10" ht="14.4" x14ac:dyDescent="0.3">
      <c r="A41" s="3"/>
      <c r="B41" s="9" t="s">
        <v>57</v>
      </c>
      <c r="C41" s="89" t="s">
        <v>57</v>
      </c>
      <c r="D41" s="90" t="s">
        <v>57</v>
      </c>
      <c r="E41" s="90" t="s">
        <v>57</v>
      </c>
      <c r="F41" s="90" t="s">
        <v>57</v>
      </c>
      <c r="G41" s="90" t="s">
        <v>57</v>
      </c>
      <c r="H41" s="6" t="s">
        <v>57</v>
      </c>
      <c r="I41" s="3"/>
    </row>
    <row r="42" spans="1:10" ht="18" x14ac:dyDescent="0.35">
      <c r="A42" s="3"/>
      <c r="C42" s="94"/>
      <c r="D42" s="185" t="s">
        <v>43</v>
      </c>
      <c r="E42" s="185"/>
      <c r="F42" s="185"/>
      <c r="G42" s="185"/>
      <c r="H42" s="185"/>
      <c r="I42" s="3"/>
    </row>
    <row r="43" spans="1:10" ht="15.6" x14ac:dyDescent="0.3">
      <c r="A43" s="37"/>
      <c r="B43" s="27" t="s">
        <v>57</v>
      </c>
      <c r="C43" s="95" t="s">
        <v>57</v>
      </c>
      <c r="D43" s="186" t="s">
        <v>58</v>
      </c>
      <c r="E43" s="186"/>
      <c r="F43" s="186"/>
      <c r="G43" s="186"/>
      <c r="H43" s="186"/>
      <c r="I43" s="37"/>
    </row>
    <row r="44" spans="1:10" ht="15.9" customHeight="1" x14ac:dyDescent="0.3">
      <c r="A44" s="3"/>
      <c r="B44" s="128" t="s">
        <v>84</v>
      </c>
      <c r="C44" s="128"/>
      <c r="D44" s="128"/>
      <c r="E44" s="128"/>
      <c r="F44" s="128"/>
      <c r="G44" s="128"/>
      <c r="H44" s="128"/>
      <c r="I44" s="3"/>
    </row>
    <row r="45" spans="1:10" ht="14.4" x14ac:dyDescent="0.3">
      <c r="A45" s="3"/>
      <c r="B45" s="15"/>
      <c r="C45" s="16"/>
      <c r="D45" s="118" t="s">
        <v>6</v>
      </c>
      <c r="E45" s="118"/>
      <c r="F45" s="118"/>
      <c r="G45" s="118"/>
      <c r="H45" s="181" t="s">
        <v>57</v>
      </c>
      <c r="I45" s="3"/>
    </row>
    <row r="46" spans="1:10" ht="14.4" x14ac:dyDescent="0.3">
      <c r="A46" s="3"/>
      <c r="B46" s="13"/>
      <c r="C46" s="14"/>
      <c r="D46" s="125" t="s">
        <v>9</v>
      </c>
      <c r="E46" s="125"/>
      <c r="F46" s="125"/>
      <c r="G46" s="125"/>
      <c r="H46" s="181"/>
      <c r="I46" s="3"/>
    </row>
    <row r="47" spans="1:10" ht="14.4" x14ac:dyDescent="0.3">
      <c r="A47" s="3"/>
      <c r="B47" s="132" t="s">
        <v>10</v>
      </c>
      <c r="C47" s="134" t="s">
        <v>11</v>
      </c>
      <c r="D47" s="62" t="s">
        <v>12</v>
      </c>
      <c r="E47" s="62" t="s">
        <v>13</v>
      </c>
      <c r="F47" s="62" t="s">
        <v>14</v>
      </c>
      <c r="G47" s="76" t="s">
        <v>15</v>
      </c>
      <c r="H47" s="176" t="s">
        <v>57</v>
      </c>
      <c r="I47" s="3"/>
    </row>
    <row r="48" spans="1:10" ht="14.4" x14ac:dyDescent="0.3">
      <c r="A48" s="3"/>
      <c r="B48" s="132"/>
      <c r="C48" s="134"/>
      <c r="D48" s="145" t="s">
        <v>20</v>
      </c>
      <c r="E48" s="145"/>
      <c r="F48" s="145"/>
      <c r="G48" s="145"/>
      <c r="H48" s="176"/>
      <c r="I48" s="3"/>
    </row>
    <row r="49" spans="1:10" ht="14.4" x14ac:dyDescent="0.3">
      <c r="A49" s="3"/>
      <c r="B49" s="42">
        <v>4</v>
      </c>
      <c r="C49" s="77" t="s">
        <v>21</v>
      </c>
      <c r="D49" s="78">
        <v>187898.5</v>
      </c>
      <c r="E49" s="21">
        <v>0</v>
      </c>
      <c r="F49" s="79">
        <v>187898.5</v>
      </c>
      <c r="G49" s="80">
        <f>+F49</f>
        <v>187898.5</v>
      </c>
      <c r="H49" s="81" t="s">
        <v>57</v>
      </c>
      <c r="I49" s="3"/>
    </row>
    <row r="50" spans="1:10" ht="14.4" x14ac:dyDescent="0.3">
      <c r="A50" s="3"/>
      <c r="B50" s="82">
        <v>5</v>
      </c>
      <c r="C50" s="83" t="s">
        <v>22</v>
      </c>
      <c r="D50" s="78">
        <v>1650672.5</v>
      </c>
      <c r="E50" s="26">
        <v>0</v>
      </c>
      <c r="F50" s="79">
        <v>1650672.5</v>
      </c>
      <c r="G50" s="80">
        <f>+G49+F50</f>
        <v>1838571</v>
      </c>
      <c r="H50" s="81" t="s">
        <v>57</v>
      </c>
      <c r="I50" s="3"/>
    </row>
    <row r="51" spans="1:10" ht="14.4" x14ac:dyDescent="0.3">
      <c r="A51" s="3"/>
      <c r="B51" s="82">
        <v>6</v>
      </c>
      <c r="C51" s="83" t="s">
        <v>23</v>
      </c>
      <c r="D51" s="78">
        <v>2517090.29</v>
      </c>
      <c r="E51" s="26">
        <v>0</v>
      </c>
      <c r="F51" s="79">
        <v>2517090.29</v>
      </c>
      <c r="G51" s="80">
        <f>+G50+F51</f>
        <v>4355661.29</v>
      </c>
      <c r="H51" s="81" t="s">
        <v>57</v>
      </c>
    </row>
    <row r="52" spans="1:10" ht="14.4" x14ac:dyDescent="0.3">
      <c r="A52" s="3"/>
      <c r="B52" s="82">
        <v>7</v>
      </c>
      <c r="C52" s="83" t="s">
        <v>24</v>
      </c>
      <c r="D52" s="78">
        <v>1362926.72</v>
      </c>
      <c r="E52" s="26">
        <v>383556.5</v>
      </c>
      <c r="F52" s="79">
        <f>1362926.72+383556.5</f>
        <v>1746483.22</v>
      </c>
      <c r="G52" s="80">
        <f>+G51+F52</f>
        <v>6102144.5099999998</v>
      </c>
      <c r="H52" s="81" t="s">
        <v>57</v>
      </c>
      <c r="I52" s="3"/>
    </row>
    <row r="53" spans="1:10" s="3" customFormat="1" ht="14.4" x14ac:dyDescent="0.3">
      <c r="B53" s="42">
        <v>8</v>
      </c>
      <c r="C53" s="40" t="s">
        <v>25</v>
      </c>
      <c r="D53" s="26">
        <v>1329656.5</v>
      </c>
      <c r="E53" s="26">
        <v>0</v>
      </c>
      <c r="F53" s="49">
        <f t="shared" ref="F53:F71" si="2">+E53+D53</f>
        <v>1329656.5</v>
      </c>
      <c r="G53" s="84">
        <f>+G52+F53</f>
        <v>7431801.0099999998</v>
      </c>
      <c r="H53" s="81"/>
      <c r="I53" s="10"/>
    </row>
    <row r="54" spans="1:10" s="3" customFormat="1" ht="14.4" x14ac:dyDescent="0.3">
      <c r="B54" s="42">
        <v>9</v>
      </c>
      <c r="C54" s="40" t="s">
        <v>26</v>
      </c>
      <c r="D54" s="26">
        <v>723423.01</v>
      </c>
      <c r="E54" s="26">
        <v>0</v>
      </c>
      <c r="F54" s="49">
        <f t="shared" si="2"/>
        <v>723423.01</v>
      </c>
      <c r="G54" s="84">
        <f t="shared" ref="G54:G71" si="3">+G53+F54</f>
        <v>8155224.0199999996</v>
      </c>
      <c r="H54" s="81"/>
      <c r="I54" s="44"/>
      <c r="J54" s="44"/>
    </row>
    <row r="55" spans="1:10" s="3" customFormat="1" ht="14.4" x14ac:dyDescent="0.3">
      <c r="B55" s="42">
        <v>10</v>
      </c>
      <c r="C55" s="40" t="s">
        <v>67</v>
      </c>
      <c r="D55" s="26">
        <v>1531718</v>
      </c>
      <c r="E55" s="26">
        <v>0</v>
      </c>
      <c r="F55" s="49">
        <f t="shared" si="2"/>
        <v>1531718</v>
      </c>
      <c r="G55" s="84">
        <f t="shared" si="3"/>
        <v>9686942.0199999996</v>
      </c>
      <c r="H55" s="81"/>
      <c r="I55" s="44"/>
      <c r="J55" s="44"/>
    </row>
    <row r="56" spans="1:10" s="3" customFormat="1" ht="14.4" x14ac:dyDescent="0.3">
      <c r="B56" s="42">
        <v>11</v>
      </c>
      <c r="C56" s="40" t="s">
        <v>68</v>
      </c>
      <c r="D56" s="26">
        <v>454505</v>
      </c>
      <c r="E56" s="26">
        <v>0</v>
      </c>
      <c r="F56" s="49">
        <f t="shared" si="2"/>
        <v>454505</v>
      </c>
      <c r="G56" s="84">
        <f t="shared" si="3"/>
        <v>10141447.02</v>
      </c>
      <c r="H56" s="81"/>
      <c r="I56" s="44"/>
      <c r="J56" s="44"/>
    </row>
    <row r="57" spans="1:10" s="3" customFormat="1" ht="14.4" x14ac:dyDescent="0.3">
      <c r="B57" s="42">
        <v>12</v>
      </c>
      <c r="C57" s="40" t="s">
        <v>83</v>
      </c>
      <c r="D57" s="26">
        <v>280149.5</v>
      </c>
      <c r="E57" s="26">
        <v>0</v>
      </c>
      <c r="F57" s="49">
        <f t="shared" si="2"/>
        <v>280149.5</v>
      </c>
      <c r="G57" s="84">
        <f t="shared" si="3"/>
        <v>10421596.52</v>
      </c>
      <c r="H57" s="81"/>
      <c r="I57" s="44"/>
      <c r="J57" s="44"/>
    </row>
    <row r="58" spans="1:10" s="3" customFormat="1" ht="14.4" x14ac:dyDescent="0.3">
      <c r="B58" s="42">
        <v>13</v>
      </c>
      <c r="C58" s="40" t="s">
        <v>69</v>
      </c>
      <c r="D58" s="26">
        <v>383632.51</v>
      </c>
      <c r="E58" s="26">
        <v>-12755</v>
      </c>
      <c r="F58" s="49">
        <f t="shared" si="2"/>
        <v>370877.51</v>
      </c>
      <c r="G58" s="84">
        <f t="shared" si="3"/>
        <v>10792474.029999999</v>
      </c>
      <c r="H58" s="81"/>
      <c r="I58" s="44"/>
      <c r="J58" s="44"/>
    </row>
    <row r="59" spans="1:10" s="3" customFormat="1" ht="15.6" customHeight="1" x14ac:dyDescent="0.3">
      <c r="B59" s="42">
        <v>14</v>
      </c>
      <c r="C59" s="86" t="s">
        <v>70</v>
      </c>
      <c r="D59" s="26">
        <v>30384.5</v>
      </c>
      <c r="E59" s="26">
        <v>0</v>
      </c>
      <c r="F59" s="49">
        <f t="shared" si="2"/>
        <v>30384.5</v>
      </c>
      <c r="G59" s="84">
        <f t="shared" si="3"/>
        <v>10822858.529999999</v>
      </c>
      <c r="H59" s="81"/>
      <c r="I59" s="44"/>
      <c r="J59" s="44"/>
    </row>
    <row r="60" spans="1:10" s="3" customFormat="1" ht="14.4" hidden="1" x14ac:dyDescent="0.3">
      <c r="B60" s="42">
        <v>15</v>
      </c>
      <c r="C60" s="40" t="s">
        <v>71</v>
      </c>
      <c r="D60" s="26"/>
      <c r="E60" s="26"/>
      <c r="F60" s="49">
        <f t="shared" si="2"/>
        <v>0</v>
      </c>
      <c r="G60" s="84">
        <f t="shared" si="3"/>
        <v>10822858.529999999</v>
      </c>
      <c r="H60" s="81"/>
      <c r="I60" s="44"/>
      <c r="J60" s="44"/>
    </row>
    <row r="61" spans="1:10" s="3" customFormat="1" ht="14.4" hidden="1" x14ac:dyDescent="0.3">
      <c r="B61" s="42">
        <v>16</v>
      </c>
      <c r="C61" s="40" t="s">
        <v>72</v>
      </c>
      <c r="D61" s="26"/>
      <c r="E61" s="26"/>
      <c r="F61" s="49">
        <f t="shared" si="2"/>
        <v>0</v>
      </c>
      <c r="G61" s="84">
        <f t="shared" si="3"/>
        <v>10822858.529999999</v>
      </c>
      <c r="H61" s="81"/>
      <c r="I61" s="44"/>
      <c r="J61" s="44"/>
    </row>
    <row r="62" spans="1:10" s="3" customFormat="1" ht="14.4" hidden="1" x14ac:dyDescent="0.3">
      <c r="B62" s="42">
        <v>17</v>
      </c>
      <c r="C62" s="40" t="s">
        <v>73</v>
      </c>
      <c r="D62" s="26"/>
      <c r="E62" s="26"/>
      <c r="F62" s="49">
        <f t="shared" si="2"/>
        <v>0</v>
      </c>
      <c r="G62" s="84">
        <f t="shared" si="3"/>
        <v>10822858.529999999</v>
      </c>
      <c r="H62" s="81"/>
      <c r="I62" s="44"/>
      <c r="J62" s="44"/>
    </row>
    <row r="63" spans="1:10" s="3" customFormat="1" ht="14.4" hidden="1" x14ac:dyDescent="0.3">
      <c r="B63" s="42">
        <v>18</v>
      </c>
      <c r="C63" s="40" t="s">
        <v>74</v>
      </c>
      <c r="D63" s="26"/>
      <c r="E63" s="26"/>
      <c r="F63" s="49">
        <f t="shared" si="2"/>
        <v>0</v>
      </c>
      <c r="G63" s="84">
        <f t="shared" si="3"/>
        <v>10822858.529999999</v>
      </c>
      <c r="H63" s="81"/>
      <c r="I63" s="44"/>
      <c r="J63" s="44"/>
    </row>
    <row r="64" spans="1:10" s="3" customFormat="1" ht="14.4" hidden="1" x14ac:dyDescent="0.3">
      <c r="B64" s="42">
        <v>19</v>
      </c>
      <c r="C64" s="40" t="s">
        <v>75</v>
      </c>
      <c r="D64" s="26"/>
      <c r="E64" s="26"/>
      <c r="F64" s="49">
        <f t="shared" si="2"/>
        <v>0</v>
      </c>
      <c r="G64" s="84">
        <f t="shared" si="3"/>
        <v>10822858.529999999</v>
      </c>
      <c r="H64" s="81"/>
      <c r="I64" s="44"/>
      <c r="J64" s="44"/>
    </row>
    <row r="65" spans="1:10" s="3" customFormat="1" ht="14.4" hidden="1" x14ac:dyDescent="0.3">
      <c r="B65" s="42">
        <v>20</v>
      </c>
      <c r="C65" s="40" t="s">
        <v>76</v>
      </c>
      <c r="D65" s="26"/>
      <c r="E65" s="26"/>
      <c r="F65" s="49">
        <f t="shared" si="2"/>
        <v>0</v>
      </c>
      <c r="G65" s="84">
        <f t="shared" si="3"/>
        <v>10822858.529999999</v>
      </c>
      <c r="H65" s="81"/>
      <c r="I65" s="44"/>
      <c r="J65" s="44"/>
    </row>
    <row r="66" spans="1:10" s="3" customFormat="1" ht="14.4" hidden="1" x14ac:dyDescent="0.3">
      <c r="B66" s="42">
        <v>21</v>
      </c>
      <c r="C66" s="40" t="s">
        <v>77</v>
      </c>
      <c r="D66" s="26"/>
      <c r="E66" s="26"/>
      <c r="F66" s="49">
        <f t="shared" si="2"/>
        <v>0</v>
      </c>
      <c r="G66" s="84">
        <f t="shared" si="3"/>
        <v>10822858.529999999</v>
      </c>
      <c r="H66" s="81"/>
      <c r="I66" s="44"/>
      <c r="J66" s="44"/>
    </row>
    <row r="67" spans="1:10" s="3" customFormat="1" ht="14.4" hidden="1" x14ac:dyDescent="0.3">
      <c r="B67" s="42">
        <v>22</v>
      </c>
      <c r="C67" s="40" t="s">
        <v>78</v>
      </c>
      <c r="D67" s="26"/>
      <c r="E67" s="26"/>
      <c r="F67" s="49">
        <f t="shared" si="2"/>
        <v>0</v>
      </c>
      <c r="G67" s="84">
        <f t="shared" si="3"/>
        <v>10822858.529999999</v>
      </c>
      <c r="H67" s="81"/>
      <c r="I67" s="44"/>
      <c r="J67" s="44"/>
    </row>
    <row r="68" spans="1:10" s="3" customFormat="1" ht="14.4" hidden="1" x14ac:dyDescent="0.3">
      <c r="B68" s="42">
        <v>23</v>
      </c>
      <c r="C68" s="40" t="s">
        <v>79</v>
      </c>
      <c r="D68" s="26"/>
      <c r="E68" s="26"/>
      <c r="F68" s="49">
        <f t="shared" si="2"/>
        <v>0</v>
      </c>
      <c r="G68" s="84">
        <f t="shared" si="3"/>
        <v>10822858.529999999</v>
      </c>
      <c r="H68" s="81"/>
      <c r="I68" s="44"/>
      <c r="J68" s="44"/>
    </row>
    <row r="69" spans="1:10" s="3" customFormat="1" ht="14.4" hidden="1" x14ac:dyDescent="0.3">
      <c r="B69" s="42">
        <v>24</v>
      </c>
      <c r="C69" s="40" t="s">
        <v>80</v>
      </c>
      <c r="D69" s="26"/>
      <c r="E69" s="26"/>
      <c r="F69" s="49">
        <f t="shared" si="2"/>
        <v>0</v>
      </c>
      <c r="G69" s="84">
        <f t="shared" si="3"/>
        <v>10822858.529999999</v>
      </c>
      <c r="H69" s="81"/>
      <c r="I69" s="44"/>
      <c r="J69" s="44"/>
    </row>
    <row r="70" spans="1:10" s="3" customFormat="1" ht="14.4" hidden="1" x14ac:dyDescent="0.3">
      <c r="B70" s="42">
        <v>25</v>
      </c>
      <c r="C70" s="87" t="s">
        <v>81</v>
      </c>
      <c r="D70" s="26"/>
      <c r="E70" s="26"/>
      <c r="F70" s="49">
        <f t="shared" si="2"/>
        <v>0</v>
      </c>
      <c r="G70" s="84">
        <f t="shared" si="3"/>
        <v>10822858.529999999</v>
      </c>
      <c r="H70" s="81"/>
      <c r="I70" s="44"/>
      <c r="J70" s="44"/>
    </row>
    <row r="71" spans="1:10" s="3" customFormat="1" ht="14.4" hidden="1" x14ac:dyDescent="0.3">
      <c r="B71" s="42">
        <v>26</v>
      </c>
      <c r="C71" s="87" t="s">
        <v>82</v>
      </c>
      <c r="D71" s="33"/>
      <c r="E71" s="33"/>
      <c r="F71" s="66">
        <f t="shared" si="2"/>
        <v>0</v>
      </c>
      <c r="G71" s="88">
        <f t="shared" si="3"/>
        <v>10822858.529999999</v>
      </c>
      <c r="H71" s="81"/>
      <c r="I71" s="44"/>
      <c r="J71" s="44"/>
    </row>
    <row r="72" spans="1:10" ht="14.4" x14ac:dyDescent="0.3">
      <c r="A72" s="3"/>
      <c r="B72" s="5" t="s">
        <v>57</v>
      </c>
      <c r="C72" s="89" t="s">
        <v>57</v>
      </c>
      <c r="D72" s="90" t="s">
        <v>57</v>
      </c>
      <c r="E72" s="90" t="s">
        <v>57</v>
      </c>
      <c r="F72" s="90" t="s">
        <v>57</v>
      </c>
      <c r="G72" s="90" t="s">
        <v>57</v>
      </c>
      <c r="H72" s="6" t="s">
        <v>57</v>
      </c>
      <c r="I72" s="3"/>
    </row>
    <row r="73" spans="1:10" ht="14.4" x14ac:dyDescent="0.3">
      <c r="A73" s="3"/>
      <c r="B73" s="8" t="s">
        <v>39</v>
      </c>
      <c r="C73" s="91"/>
      <c r="D73" s="90" t="s">
        <v>57</v>
      </c>
      <c r="E73" s="90" t="s">
        <v>57</v>
      </c>
      <c r="F73" s="90" t="s">
        <v>57</v>
      </c>
      <c r="G73" s="90" t="s">
        <v>57</v>
      </c>
      <c r="H73" s="6" t="s">
        <v>57</v>
      </c>
      <c r="I73" s="3"/>
    </row>
    <row r="74" spans="1:10" ht="14.4" x14ac:dyDescent="0.3">
      <c r="A74" s="3"/>
      <c r="B74" s="9" t="s">
        <v>40</v>
      </c>
      <c r="C74" s="5"/>
      <c r="D74" s="6"/>
      <c r="E74" s="6"/>
      <c r="F74" s="92"/>
      <c r="G74" s="92"/>
      <c r="H74" s="93"/>
      <c r="I74" s="3"/>
    </row>
    <row r="75" spans="1:10" ht="14.4" x14ac:dyDescent="0.3">
      <c r="A75" s="3"/>
      <c r="B75" s="9" t="s">
        <v>41</v>
      </c>
      <c r="C75" s="5"/>
      <c r="D75" s="6"/>
      <c r="E75" s="6"/>
      <c r="F75" s="92"/>
      <c r="G75" s="90" t="s">
        <v>57</v>
      </c>
      <c r="H75" s="6" t="s">
        <v>57</v>
      </c>
      <c r="I75" s="3"/>
    </row>
    <row r="76" spans="1:10" ht="14.4" x14ac:dyDescent="0.3">
      <c r="A76" s="3"/>
      <c r="B76" s="9" t="s">
        <v>42</v>
      </c>
      <c r="C76" s="5"/>
      <c r="D76" s="6"/>
      <c r="E76" s="6"/>
      <c r="F76" s="90" t="s">
        <v>57</v>
      </c>
      <c r="G76" s="90" t="s">
        <v>57</v>
      </c>
      <c r="H76" s="6" t="s">
        <v>57</v>
      </c>
      <c r="I76" s="3"/>
    </row>
    <row r="77" spans="1:10" ht="14.4" x14ac:dyDescent="0.3">
      <c r="A77" s="3"/>
      <c r="B77" s="10"/>
      <c r="C77" s="94"/>
      <c r="D77" s="96"/>
      <c r="E77" s="96"/>
      <c r="F77" s="96"/>
      <c r="G77" s="96"/>
      <c r="H77" s="44"/>
      <c r="I77" s="3"/>
    </row>
    <row r="78" spans="1:10" ht="14.4" x14ac:dyDescent="0.3">
      <c r="A78" s="3"/>
      <c r="B78" s="10"/>
      <c r="C78" s="94"/>
      <c r="D78" s="96"/>
      <c r="E78" s="96"/>
      <c r="F78" s="96"/>
      <c r="G78" s="96"/>
      <c r="H78" s="44"/>
      <c r="I78" s="3"/>
    </row>
    <row r="79" spans="1:10" ht="18" x14ac:dyDescent="0.35">
      <c r="A79" s="3"/>
      <c r="C79" s="94"/>
      <c r="D79" s="183" t="s">
        <v>45</v>
      </c>
      <c r="E79" s="183"/>
      <c r="F79" s="183"/>
      <c r="G79" s="183"/>
      <c r="H79" s="183"/>
      <c r="I79" s="3"/>
    </row>
    <row r="80" spans="1:10" ht="15.6" x14ac:dyDescent="0.3">
      <c r="A80" s="37"/>
      <c r="B80" s="27" t="s">
        <v>57</v>
      </c>
      <c r="C80" s="95" t="s">
        <v>57</v>
      </c>
      <c r="D80" s="184" t="s">
        <v>58</v>
      </c>
      <c r="E80" s="184"/>
      <c r="F80" s="184"/>
      <c r="G80" s="184"/>
      <c r="H80" s="184"/>
      <c r="I80" s="37"/>
    </row>
    <row r="81" spans="1:10" ht="15.9" customHeight="1" x14ac:dyDescent="0.3">
      <c r="A81" s="3"/>
      <c r="B81" s="128" t="s">
        <v>84</v>
      </c>
      <c r="C81" s="128"/>
      <c r="D81" s="128"/>
      <c r="E81" s="128"/>
      <c r="F81" s="128"/>
      <c r="G81" s="128"/>
      <c r="H81" s="128"/>
      <c r="I81" s="3"/>
    </row>
    <row r="82" spans="1:10" ht="14.4" x14ac:dyDescent="0.3">
      <c r="A82" s="3"/>
      <c r="B82" s="15"/>
      <c r="C82" s="16"/>
      <c r="D82" s="118" t="s">
        <v>6</v>
      </c>
      <c r="E82" s="118"/>
      <c r="F82" s="118"/>
      <c r="G82" s="118"/>
      <c r="H82" s="181" t="s">
        <v>57</v>
      </c>
      <c r="I82" s="3"/>
    </row>
    <row r="83" spans="1:10" ht="14.4" x14ac:dyDescent="0.3">
      <c r="A83" s="3"/>
      <c r="B83" s="13"/>
      <c r="C83" s="14"/>
      <c r="D83" s="125" t="s">
        <v>9</v>
      </c>
      <c r="E83" s="125"/>
      <c r="F83" s="125"/>
      <c r="G83" s="125"/>
      <c r="H83" s="181"/>
      <c r="I83" s="3"/>
    </row>
    <row r="84" spans="1:10" ht="14.4" x14ac:dyDescent="0.3">
      <c r="A84" s="3"/>
      <c r="B84" s="132" t="s">
        <v>10</v>
      </c>
      <c r="C84" s="134" t="s">
        <v>11</v>
      </c>
      <c r="D84" s="62" t="s">
        <v>12</v>
      </c>
      <c r="E84" s="62" t="s">
        <v>13</v>
      </c>
      <c r="F84" s="62" t="s">
        <v>14</v>
      </c>
      <c r="G84" s="76" t="s">
        <v>15</v>
      </c>
      <c r="H84" s="176" t="s">
        <v>57</v>
      </c>
      <c r="I84" s="3"/>
    </row>
    <row r="85" spans="1:10" ht="14.4" x14ac:dyDescent="0.3">
      <c r="A85" s="3"/>
      <c r="B85" s="132"/>
      <c r="C85" s="134"/>
      <c r="D85" s="145" t="s">
        <v>20</v>
      </c>
      <c r="E85" s="145"/>
      <c r="F85" s="145"/>
      <c r="G85" s="145"/>
      <c r="H85" s="176"/>
      <c r="I85" s="3"/>
    </row>
    <row r="86" spans="1:10" ht="14.4" x14ac:dyDescent="0.3">
      <c r="A86" s="3"/>
      <c r="B86" s="42">
        <v>4</v>
      </c>
      <c r="C86" s="77" t="s">
        <v>21</v>
      </c>
      <c r="D86" s="21">
        <v>0</v>
      </c>
      <c r="E86" s="21">
        <v>0</v>
      </c>
      <c r="F86" s="21">
        <v>0</v>
      </c>
      <c r="G86" s="21">
        <v>0</v>
      </c>
      <c r="H86" s="81" t="s">
        <v>57</v>
      </c>
      <c r="I86" s="3"/>
    </row>
    <row r="87" spans="1:10" ht="14.4" x14ac:dyDescent="0.3">
      <c r="A87" s="3"/>
      <c r="B87" s="82">
        <v>5</v>
      </c>
      <c r="C87" s="83" t="s">
        <v>22</v>
      </c>
      <c r="D87" s="78">
        <v>59122.5</v>
      </c>
      <c r="E87" s="26">
        <v>0</v>
      </c>
      <c r="F87" s="79">
        <v>59122.5</v>
      </c>
      <c r="G87" s="80">
        <f>+F87</f>
        <v>59122.5</v>
      </c>
      <c r="H87" s="81" t="s">
        <v>57</v>
      </c>
      <c r="I87" s="3"/>
    </row>
    <row r="88" spans="1:10" ht="14.4" x14ac:dyDescent="0.3">
      <c r="A88" s="3"/>
      <c r="B88" s="82">
        <v>6</v>
      </c>
      <c r="C88" s="83" t="s">
        <v>23</v>
      </c>
      <c r="D88" s="78">
        <v>372395</v>
      </c>
      <c r="E88" s="26">
        <v>0</v>
      </c>
      <c r="F88" s="79">
        <v>372395.5</v>
      </c>
      <c r="G88" s="80">
        <f>+G87+F88</f>
        <v>431518</v>
      </c>
      <c r="H88" s="81" t="s">
        <v>57</v>
      </c>
      <c r="I88" s="3"/>
    </row>
    <row r="89" spans="1:10" ht="14.4" x14ac:dyDescent="0.3">
      <c r="A89" s="3"/>
      <c r="B89" s="82">
        <v>7</v>
      </c>
      <c r="C89" s="83" t="s">
        <v>24</v>
      </c>
      <c r="D89" s="78">
        <v>134343.5</v>
      </c>
      <c r="E89" s="26">
        <v>447506</v>
      </c>
      <c r="F89" s="79">
        <v>581849.5</v>
      </c>
      <c r="G89" s="80">
        <v>1013367</v>
      </c>
      <c r="H89" s="81" t="s">
        <v>57</v>
      </c>
      <c r="I89" s="3"/>
    </row>
    <row r="90" spans="1:10" s="3" customFormat="1" ht="14.4" x14ac:dyDescent="0.3">
      <c r="B90" s="42">
        <v>8</v>
      </c>
      <c r="C90" s="40" t="s">
        <v>25</v>
      </c>
      <c r="D90" s="26">
        <v>456216</v>
      </c>
      <c r="E90" s="26">
        <v>0</v>
      </c>
      <c r="F90" s="49">
        <f t="shared" ref="F90:F108" si="4">+E90+D90</f>
        <v>456216</v>
      </c>
      <c r="G90" s="84">
        <f>+G89+F90</f>
        <v>1469583</v>
      </c>
      <c r="H90" s="81"/>
      <c r="I90" s="10"/>
    </row>
    <row r="91" spans="1:10" s="3" customFormat="1" ht="14.4" x14ac:dyDescent="0.3">
      <c r="B91" s="42">
        <v>9</v>
      </c>
      <c r="C91" s="40" t="s">
        <v>26</v>
      </c>
      <c r="D91" s="26">
        <v>670473.02</v>
      </c>
      <c r="E91" s="26">
        <v>0</v>
      </c>
      <c r="F91" s="49">
        <f t="shared" si="4"/>
        <v>670473.02</v>
      </c>
      <c r="G91" s="84">
        <f t="shared" ref="G91:G108" si="5">+G90+F91</f>
        <v>2140056.02</v>
      </c>
      <c r="H91" s="81"/>
      <c r="I91" s="44"/>
      <c r="J91" s="44"/>
    </row>
    <row r="92" spans="1:10" s="3" customFormat="1" ht="14.4" x14ac:dyDescent="0.3">
      <c r="B92" s="42">
        <v>10</v>
      </c>
      <c r="C92" s="40" t="s">
        <v>67</v>
      </c>
      <c r="D92" s="26">
        <v>406915.5</v>
      </c>
      <c r="E92" s="26">
        <v>0</v>
      </c>
      <c r="F92" s="49">
        <f t="shared" si="4"/>
        <v>406915.5</v>
      </c>
      <c r="G92" s="84">
        <f t="shared" si="5"/>
        <v>2546971.52</v>
      </c>
      <c r="H92" s="81"/>
      <c r="I92" s="44"/>
      <c r="J92" s="44"/>
    </row>
    <row r="93" spans="1:10" s="3" customFormat="1" ht="14.4" x14ac:dyDescent="0.3">
      <c r="B93" s="42">
        <v>11</v>
      </c>
      <c r="C93" s="40" t="s">
        <v>68</v>
      </c>
      <c r="D93" s="26">
        <v>469679.5</v>
      </c>
      <c r="E93" s="26">
        <v>0</v>
      </c>
      <c r="F93" s="49">
        <f t="shared" si="4"/>
        <v>469679.5</v>
      </c>
      <c r="G93" s="84">
        <f t="shared" si="5"/>
        <v>3016651.02</v>
      </c>
      <c r="H93" s="81"/>
      <c r="I93" s="44"/>
      <c r="J93" s="44"/>
    </row>
    <row r="94" spans="1:10" s="3" customFormat="1" ht="14.4" x14ac:dyDescent="0.3">
      <c r="B94" s="42">
        <v>12</v>
      </c>
      <c r="C94" s="40" t="s">
        <v>83</v>
      </c>
      <c r="D94" s="26">
        <v>700853.51</v>
      </c>
      <c r="E94" s="26">
        <v>0</v>
      </c>
      <c r="F94" s="49">
        <f t="shared" si="4"/>
        <v>700853.51</v>
      </c>
      <c r="G94" s="84">
        <f t="shared" si="5"/>
        <v>3717504.5300000003</v>
      </c>
      <c r="H94" s="81"/>
      <c r="I94" s="44"/>
      <c r="J94" s="44"/>
    </row>
    <row r="95" spans="1:10" s="3" customFormat="1" ht="14.4" x14ac:dyDescent="0.3">
      <c r="B95" s="42">
        <v>13</v>
      </c>
      <c r="C95" s="40" t="s">
        <v>69</v>
      </c>
      <c r="D95" s="26">
        <v>374059.01</v>
      </c>
      <c r="E95" s="26">
        <v>12755</v>
      </c>
      <c r="F95" s="49">
        <f t="shared" si="4"/>
        <v>386814.01</v>
      </c>
      <c r="G95" s="84">
        <f t="shared" si="5"/>
        <v>4104318.54</v>
      </c>
      <c r="H95" s="81"/>
      <c r="I95" s="44"/>
      <c r="J95" s="44"/>
    </row>
    <row r="96" spans="1:10" s="3" customFormat="1" ht="15.6" customHeight="1" x14ac:dyDescent="0.3">
      <c r="B96" s="42">
        <v>14</v>
      </c>
      <c r="C96" s="86" t="s">
        <v>70</v>
      </c>
      <c r="D96" s="26">
        <v>127631.5</v>
      </c>
      <c r="E96" s="26">
        <v>0</v>
      </c>
      <c r="F96" s="49">
        <f t="shared" si="4"/>
        <v>127631.5</v>
      </c>
      <c r="G96" s="84">
        <f t="shared" si="5"/>
        <v>4231950.04</v>
      </c>
      <c r="H96" s="81"/>
      <c r="I96" s="44"/>
      <c r="J96" s="44"/>
    </row>
    <row r="97" spans="1:10" s="3" customFormat="1" ht="14.4" hidden="1" x14ac:dyDescent="0.3">
      <c r="B97" s="42">
        <v>15</v>
      </c>
      <c r="C97" s="40" t="s">
        <v>71</v>
      </c>
      <c r="D97" s="26"/>
      <c r="E97" s="26"/>
      <c r="F97" s="49">
        <f t="shared" si="4"/>
        <v>0</v>
      </c>
      <c r="G97" s="84">
        <f t="shared" si="5"/>
        <v>4231950.04</v>
      </c>
      <c r="H97" s="81"/>
      <c r="I97" s="44"/>
      <c r="J97" s="44"/>
    </row>
    <row r="98" spans="1:10" s="3" customFormat="1" ht="14.4" hidden="1" x14ac:dyDescent="0.3">
      <c r="B98" s="42">
        <v>16</v>
      </c>
      <c r="C98" s="40" t="s">
        <v>72</v>
      </c>
      <c r="D98" s="26"/>
      <c r="E98" s="26"/>
      <c r="F98" s="49">
        <f t="shared" si="4"/>
        <v>0</v>
      </c>
      <c r="G98" s="84">
        <f t="shared" si="5"/>
        <v>4231950.04</v>
      </c>
      <c r="H98" s="81"/>
      <c r="I98" s="44"/>
      <c r="J98" s="44"/>
    </row>
    <row r="99" spans="1:10" s="3" customFormat="1" ht="14.4" hidden="1" x14ac:dyDescent="0.3">
      <c r="B99" s="42">
        <v>17</v>
      </c>
      <c r="C99" s="40" t="s">
        <v>73</v>
      </c>
      <c r="D99" s="26"/>
      <c r="E99" s="26"/>
      <c r="F99" s="49">
        <f t="shared" si="4"/>
        <v>0</v>
      </c>
      <c r="G99" s="84">
        <f t="shared" si="5"/>
        <v>4231950.04</v>
      </c>
      <c r="H99" s="81"/>
      <c r="I99" s="44"/>
      <c r="J99" s="44"/>
    </row>
    <row r="100" spans="1:10" s="3" customFormat="1" ht="14.4" hidden="1" x14ac:dyDescent="0.3">
      <c r="B100" s="42">
        <v>18</v>
      </c>
      <c r="C100" s="40" t="s">
        <v>74</v>
      </c>
      <c r="D100" s="26"/>
      <c r="E100" s="26"/>
      <c r="F100" s="49">
        <f t="shared" si="4"/>
        <v>0</v>
      </c>
      <c r="G100" s="84">
        <f t="shared" si="5"/>
        <v>4231950.04</v>
      </c>
      <c r="H100" s="81"/>
      <c r="I100" s="44"/>
      <c r="J100" s="44"/>
    </row>
    <row r="101" spans="1:10" s="3" customFormat="1" ht="14.4" hidden="1" x14ac:dyDescent="0.3">
      <c r="B101" s="42">
        <v>19</v>
      </c>
      <c r="C101" s="40" t="s">
        <v>75</v>
      </c>
      <c r="D101" s="26"/>
      <c r="E101" s="26"/>
      <c r="F101" s="49">
        <f t="shared" si="4"/>
        <v>0</v>
      </c>
      <c r="G101" s="84">
        <f t="shared" si="5"/>
        <v>4231950.04</v>
      </c>
      <c r="H101" s="81"/>
      <c r="I101" s="44"/>
      <c r="J101" s="44"/>
    </row>
    <row r="102" spans="1:10" s="3" customFormat="1" ht="14.4" hidden="1" x14ac:dyDescent="0.3">
      <c r="B102" s="42">
        <v>20</v>
      </c>
      <c r="C102" s="40" t="s">
        <v>76</v>
      </c>
      <c r="D102" s="26"/>
      <c r="E102" s="26"/>
      <c r="F102" s="49">
        <f t="shared" si="4"/>
        <v>0</v>
      </c>
      <c r="G102" s="84">
        <f t="shared" si="5"/>
        <v>4231950.04</v>
      </c>
      <c r="H102" s="81"/>
      <c r="I102" s="44"/>
      <c r="J102" s="44"/>
    </row>
    <row r="103" spans="1:10" s="3" customFormat="1" ht="14.4" hidden="1" x14ac:dyDescent="0.3">
      <c r="B103" s="42">
        <v>21</v>
      </c>
      <c r="C103" s="40" t="s">
        <v>77</v>
      </c>
      <c r="D103" s="26"/>
      <c r="E103" s="26"/>
      <c r="F103" s="49">
        <f t="shared" si="4"/>
        <v>0</v>
      </c>
      <c r="G103" s="84">
        <f t="shared" si="5"/>
        <v>4231950.04</v>
      </c>
      <c r="H103" s="81"/>
      <c r="I103" s="44"/>
      <c r="J103" s="44"/>
    </row>
    <row r="104" spans="1:10" s="3" customFormat="1" ht="14.4" hidden="1" x14ac:dyDescent="0.3">
      <c r="B104" s="42">
        <v>22</v>
      </c>
      <c r="C104" s="40" t="s">
        <v>78</v>
      </c>
      <c r="D104" s="26"/>
      <c r="E104" s="26"/>
      <c r="F104" s="49">
        <f t="shared" si="4"/>
        <v>0</v>
      </c>
      <c r="G104" s="84">
        <f t="shared" si="5"/>
        <v>4231950.04</v>
      </c>
      <c r="H104" s="81"/>
      <c r="I104" s="44"/>
      <c r="J104" s="44"/>
    </row>
    <row r="105" spans="1:10" s="3" customFormat="1" ht="14.4" hidden="1" x14ac:dyDescent="0.3">
      <c r="B105" s="42">
        <v>23</v>
      </c>
      <c r="C105" s="40" t="s">
        <v>79</v>
      </c>
      <c r="D105" s="26"/>
      <c r="E105" s="26"/>
      <c r="F105" s="49">
        <f t="shared" si="4"/>
        <v>0</v>
      </c>
      <c r="G105" s="84">
        <f t="shared" si="5"/>
        <v>4231950.04</v>
      </c>
      <c r="H105" s="81"/>
      <c r="I105" s="44"/>
      <c r="J105" s="44"/>
    </row>
    <row r="106" spans="1:10" s="3" customFormat="1" ht="14.4" hidden="1" x14ac:dyDescent="0.3">
      <c r="B106" s="42">
        <v>24</v>
      </c>
      <c r="C106" s="40" t="s">
        <v>80</v>
      </c>
      <c r="D106" s="26"/>
      <c r="E106" s="26"/>
      <c r="F106" s="49">
        <f t="shared" si="4"/>
        <v>0</v>
      </c>
      <c r="G106" s="84">
        <f t="shared" si="5"/>
        <v>4231950.04</v>
      </c>
      <c r="H106" s="81"/>
      <c r="I106" s="44"/>
      <c r="J106" s="44"/>
    </row>
    <row r="107" spans="1:10" s="3" customFormat="1" ht="14.4" hidden="1" x14ac:dyDescent="0.3">
      <c r="B107" s="42">
        <v>25</v>
      </c>
      <c r="C107" s="87" t="s">
        <v>81</v>
      </c>
      <c r="D107" s="26"/>
      <c r="E107" s="26"/>
      <c r="F107" s="49">
        <f t="shared" si="4"/>
        <v>0</v>
      </c>
      <c r="G107" s="84">
        <f t="shared" si="5"/>
        <v>4231950.04</v>
      </c>
      <c r="H107" s="81"/>
      <c r="I107" s="44"/>
      <c r="J107" s="44"/>
    </row>
    <row r="108" spans="1:10" s="3" customFormat="1" ht="14.4" hidden="1" x14ac:dyDescent="0.3">
      <c r="B108" s="42">
        <v>26</v>
      </c>
      <c r="C108" s="87" t="s">
        <v>82</v>
      </c>
      <c r="D108" s="33"/>
      <c r="E108" s="33"/>
      <c r="F108" s="66">
        <f t="shared" si="4"/>
        <v>0</v>
      </c>
      <c r="G108" s="88">
        <f t="shared" si="5"/>
        <v>4231950.04</v>
      </c>
      <c r="H108" s="81"/>
      <c r="I108" s="44"/>
      <c r="J108" s="44"/>
    </row>
    <row r="109" spans="1:10" ht="14.4" x14ac:dyDescent="0.3">
      <c r="A109" s="3"/>
      <c r="B109" s="5" t="s">
        <v>57</v>
      </c>
      <c r="C109" s="89" t="s">
        <v>57</v>
      </c>
      <c r="D109" s="90" t="s">
        <v>57</v>
      </c>
      <c r="E109" s="90" t="s">
        <v>57</v>
      </c>
      <c r="F109" s="90" t="s">
        <v>57</v>
      </c>
      <c r="G109" s="90" t="s">
        <v>57</v>
      </c>
      <c r="H109" s="6" t="s">
        <v>57</v>
      </c>
      <c r="I109" s="3"/>
    </row>
    <row r="110" spans="1:10" ht="14.4" x14ac:dyDescent="0.3">
      <c r="A110" s="3"/>
      <c r="B110" s="8" t="s">
        <v>39</v>
      </c>
      <c r="C110" s="91"/>
      <c r="D110" s="90" t="s">
        <v>57</v>
      </c>
      <c r="E110" s="90" t="s">
        <v>57</v>
      </c>
      <c r="F110" s="90" t="s">
        <v>57</v>
      </c>
      <c r="G110" s="90" t="s">
        <v>57</v>
      </c>
      <c r="H110" s="6" t="s">
        <v>57</v>
      </c>
      <c r="I110" s="3"/>
    </row>
    <row r="111" spans="1:10" ht="14.4" x14ac:dyDescent="0.3">
      <c r="A111" s="3"/>
      <c r="B111" s="9" t="s">
        <v>40</v>
      </c>
      <c r="C111" s="5"/>
      <c r="D111" s="6"/>
      <c r="E111" s="6"/>
      <c r="F111" s="92"/>
      <c r="G111" s="92"/>
      <c r="H111" s="93"/>
      <c r="I111" s="3"/>
    </row>
    <row r="112" spans="1:10" ht="14.4" x14ac:dyDescent="0.3">
      <c r="A112" s="3"/>
      <c r="B112" s="9" t="s">
        <v>41</v>
      </c>
      <c r="C112" s="5"/>
      <c r="D112" s="6"/>
      <c r="E112" s="6"/>
      <c r="F112" s="92"/>
      <c r="G112" s="90" t="s">
        <v>57</v>
      </c>
      <c r="H112" s="6" t="s">
        <v>57</v>
      </c>
      <c r="I112" s="3"/>
    </row>
    <row r="113" spans="1:10" ht="14.4" x14ac:dyDescent="0.3">
      <c r="A113" s="3"/>
      <c r="B113" s="9" t="s">
        <v>42</v>
      </c>
      <c r="C113" s="5"/>
      <c r="D113" s="6"/>
      <c r="E113" s="6"/>
      <c r="F113" s="90" t="s">
        <v>57</v>
      </c>
      <c r="G113" s="90" t="s">
        <v>57</v>
      </c>
      <c r="H113" s="6" t="s">
        <v>57</v>
      </c>
      <c r="I113" s="3"/>
    </row>
    <row r="114" spans="1:10" ht="14.4" x14ac:dyDescent="0.3">
      <c r="A114" s="3"/>
      <c r="B114" s="3"/>
      <c r="C114" s="73"/>
      <c r="D114" s="74"/>
      <c r="E114" s="74"/>
      <c r="F114" s="74"/>
      <c r="G114" s="74"/>
      <c r="H114" s="41"/>
      <c r="I114" s="3"/>
    </row>
    <row r="115" spans="1:10" ht="14.4" x14ac:dyDescent="0.3">
      <c r="A115" s="3"/>
      <c r="B115" s="3"/>
      <c r="C115" s="73"/>
      <c r="D115" s="74"/>
      <c r="E115" s="74"/>
      <c r="F115" s="74"/>
      <c r="G115" s="74"/>
      <c r="H115" s="41"/>
      <c r="I115" s="3"/>
    </row>
    <row r="116" spans="1:10" ht="18" x14ac:dyDescent="0.35">
      <c r="A116" s="3"/>
      <c r="C116" s="94"/>
      <c r="D116" s="178" t="s">
        <v>46</v>
      </c>
      <c r="E116" s="178"/>
      <c r="F116" s="178"/>
      <c r="G116" s="178"/>
      <c r="H116" s="178"/>
      <c r="I116" s="3"/>
    </row>
    <row r="117" spans="1:10" ht="15.6" x14ac:dyDescent="0.3">
      <c r="A117" s="37"/>
      <c r="B117" s="27" t="s">
        <v>57</v>
      </c>
      <c r="C117" s="95" t="s">
        <v>57</v>
      </c>
      <c r="D117" s="179" t="s">
        <v>58</v>
      </c>
      <c r="E117" s="179"/>
      <c r="F117" s="179"/>
      <c r="G117" s="179"/>
      <c r="H117" s="179"/>
      <c r="I117" s="37"/>
    </row>
    <row r="118" spans="1:10" ht="15.9" customHeight="1" x14ac:dyDescent="0.3">
      <c r="A118" s="3"/>
      <c r="B118" s="128" t="s">
        <v>84</v>
      </c>
      <c r="C118" s="128"/>
      <c r="D118" s="128"/>
      <c r="E118" s="128"/>
      <c r="F118" s="128"/>
      <c r="G118" s="128"/>
      <c r="H118" s="128"/>
      <c r="I118" s="3"/>
    </row>
    <row r="119" spans="1:10" ht="14.4" x14ac:dyDescent="0.3">
      <c r="A119" s="3"/>
      <c r="B119" s="15"/>
      <c r="C119" s="16"/>
      <c r="D119" s="118" t="s">
        <v>6</v>
      </c>
      <c r="E119" s="118"/>
      <c r="F119" s="118"/>
      <c r="G119" s="118"/>
      <c r="H119" s="181" t="s">
        <v>57</v>
      </c>
      <c r="I119" s="3"/>
    </row>
    <row r="120" spans="1:10" ht="14.4" x14ac:dyDescent="0.3">
      <c r="A120" s="3"/>
      <c r="B120" s="13"/>
      <c r="C120" s="14"/>
      <c r="D120" s="125" t="s">
        <v>9</v>
      </c>
      <c r="E120" s="125"/>
      <c r="F120" s="125"/>
      <c r="G120" s="125"/>
      <c r="H120" s="181"/>
      <c r="I120" s="3"/>
    </row>
    <row r="121" spans="1:10" ht="14.4" x14ac:dyDescent="0.3">
      <c r="A121" s="3"/>
      <c r="B121" s="132" t="s">
        <v>10</v>
      </c>
      <c r="C121" s="134" t="s">
        <v>11</v>
      </c>
      <c r="D121" s="62" t="s">
        <v>12</v>
      </c>
      <c r="E121" s="62" t="s">
        <v>13</v>
      </c>
      <c r="F121" s="62" t="s">
        <v>14</v>
      </c>
      <c r="G121" s="76" t="s">
        <v>15</v>
      </c>
      <c r="H121" s="176" t="s">
        <v>57</v>
      </c>
      <c r="I121" s="3"/>
    </row>
    <row r="122" spans="1:10" ht="14.4" x14ac:dyDescent="0.3">
      <c r="A122" s="3"/>
      <c r="B122" s="132"/>
      <c r="C122" s="134"/>
      <c r="D122" s="145" t="s">
        <v>20</v>
      </c>
      <c r="E122" s="145"/>
      <c r="F122" s="145"/>
      <c r="G122" s="145"/>
      <c r="H122" s="176"/>
      <c r="I122" s="3"/>
    </row>
    <row r="123" spans="1:10" ht="14.4" x14ac:dyDescent="0.3">
      <c r="A123" s="3"/>
      <c r="B123" s="42">
        <v>4</v>
      </c>
      <c r="C123" s="77" t="s">
        <v>21</v>
      </c>
      <c r="D123" s="78">
        <v>50751</v>
      </c>
      <c r="E123" s="21">
        <v>0</v>
      </c>
      <c r="F123" s="79">
        <f>+D123</f>
        <v>50751</v>
      </c>
      <c r="G123" s="80">
        <f>+F123</f>
        <v>50751</v>
      </c>
      <c r="H123" s="81" t="s">
        <v>57</v>
      </c>
      <c r="I123" s="3"/>
    </row>
    <row r="124" spans="1:10" ht="14.4" x14ac:dyDescent="0.3">
      <c r="A124" s="3"/>
      <c r="B124" s="82">
        <v>5</v>
      </c>
      <c r="C124" s="83" t="s">
        <v>22</v>
      </c>
      <c r="D124" s="78">
        <v>15303.5</v>
      </c>
      <c r="E124" s="26">
        <v>0</v>
      </c>
      <c r="F124" s="79">
        <f>+D124</f>
        <v>15303.5</v>
      </c>
      <c r="G124" s="80">
        <f>+G123+F124</f>
        <v>66054.5</v>
      </c>
      <c r="H124" s="81" t="s">
        <v>57</v>
      </c>
      <c r="I124" s="3"/>
    </row>
    <row r="125" spans="1:10" ht="14.4" x14ac:dyDescent="0.3">
      <c r="A125" s="3"/>
      <c r="B125" s="82">
        <v>6</v>
      </c>
      <c r="C125" s="83" t="s">
        <v>23</v>
      </c>
      <c r="D125" s="78">
        <v>60629.5</v>
      </c>
      <c r="E125" s="26">
        <v>0</v>
      </c>
      <c r="F125" s="79">
        <f>+D125</f>
        <v>60629.5</v>
      </c>
      <c r="G125" s="80">
        <f>+G124+F125</f>
        <v>126684</v>
      </c>
      <c r="H125" s="81" t="s">
        <v>57</v>
      </c>
      <c r="I125" s="3"/>
    </row>
    <row r="126" spans="1:10" ht="14.4" x14ac:dyDescent="0.3">
      <c r="A126" s="3"/>
      <c r="B126" s="82">
        <v>7</v>
      </c>
      <c r="C126" s="83" t="s">
        <v>24</v>
      </c>
      <c r="D126" s="21">
        <v>0</v>
      </c>
      <c r="E126" s="26">
        <v>0</v>
      </c>
      <c r="F126" s="45">
        <v>0</v>
      </c>
      <c r="G126" s="80">
        <f>+G125+F126</f>
        <v>126684</v>
      </c>
      <c r="H126" s="81" t="s">
        <v>57</v>
      </c>
      <c r="I126" s="3"/>
    </row>
    <row r="127" spans="1:10" s="3" customFormat="1" ht="14.4" x14ac:dyDescent="0.3">
      <c r="B127" s="42">
        <v>8</v>
      </c>
      <c r="C127" s="40" t="s">
        <v>25</v>
      </c>
      <c r="D127" s="26">
        <v>23483.5</v>
      </c>
      <c r="E127" s="26">
        <v>0</v>
      </c>
      <c r="F127" s="49">
        <f t="shared" ref="F127:F145" si="6">+E127+D127</f>
        <v>23483.5</v>
      </c>
      <c r="G127" s="84">
        <f>+G126+F127</f>
        <v>150167.5</v>
      </c>
      <c r="H127" s="81"/>
      <c r="I127" s="10"/>
    </row>
    <row r="128" spans="1:10" s="3" customFormat="1" ht="14.4" x14ac:dyDescent="0.3">
      <c r="B128" s="42">
        <v>9</v>
      </c>
      <c r="C128" s="40" t="s">
        <v>26</v>
      </c>
      <c r="D128" s="26">
        <v>7788.5</v>
      </c>
      <c r="E128" s="26">
        <v>0</v>
      </c>
      <c r="F128" s="49">
        <f t="shared" si="6"/>
        <v>7788.5</v>
      </c>
      <c r="G128" s="84">
        <f t="shared" ref="G128:G145" si="7">+G127+F128</f>
        <v>157956</v>
      </c>
      <c r="H128" s="81"/>
      <c r="I128" s="44"/>
      <c r="J128" s="44"/>
    </row>
    <row r="129" spans="2:10" s="3" customFormat="1" ht="14.4" x14ac:dyDescent="0.3">
      <c r="B129" s="42">
        <v>10</v>
      </c>
      <c r="C129" s="40" t="s">
        <v>67</v>
      </c>
      <c r="D129" s="26">
        <v>0</v>
      </c>
      <c r="E129" s="26">
        <v>0</v>
      </c>
      <c r="F129" s="49">
        <f t="shared" si="6"/>
        <v>0</v>
      </c>
      <c r="G129" s="84">
        <f t="shared" si="7"/>
        <v>157956</v>
      </c>
      <c r="H129" s="81"/>
      <c r="I129" s="44"/>
      <c r="J129" s="44"/>
    </row>
    <row r="130" spans="2:10" s="3" customFormat="1" ht="14.4" x14ac:dyDescent="0.3">
      <c r="B130" s="42">
        <v>11</v>
      </c>
      <c r="C130" s="40" t="s">
        <v>68</v>
      </c>
      <c r="D130" s="26">
        <v>0</v>
      </c>
      <c r="E130" s="26">
        <v>0</v>
      </c>
      <c r="F130" s="49">
        <f t="shared" si="6"/>
        <v>0</v>
      </c>
      <c r="G130" s="84">
        <f>+G129+F130</f>
        <v>157956</v>
      </c>
      <c r="H130" s="81"/>
      <c r="I130" s="44"/>
      <c r="J130" s="44"/>
    </row>
    <row r="131" spans="2:10" s="3" customFormat="1" ht="14.4" x14ac:dyDescent="0.3">
      <c r="B131" s="42">
        <v>12</v>
      </c>
      <c r="C131" s="40" t="s">
        <v>83</v>
      </c>
      <c r="D131" s="26">
        <v>0</v>
      </c>
      <c r="E131" s="26">
        <v>0</v>
      </c>
      <c r="F131" s="49">
        <f t="shared" si="6"/>
        <v>0</v>
      </c>
      <c r="G131" s="84">
        <f t="shared" si="7"/>
        <v>157956</v>
      </c>
      <c r="H131" s="81"/>
      <c r="I131" s="44"/>
      <c r="J131" s="44"/>
    </row>
    <row r="132" spans="2:10" s="3" customFormat="1" ht="14.4" x14ac:dyDescent="0.3">
      <c r="B132" s="42">
        <v>13</v>
      </c>
      <c r="C132" s="40" t="s">
        <v>69</v>
      </c>
      <c r="D132" s="26">
        <v>0</v>
      </c>
      <c r="E132" s="26">
        <v>0</v>
      </c>
      <c r="F132" s="49">
        <f t="shared" si="6"/>
        <v>0</v>
      </c>
      <c r="G132" s="84">
        <f t="shared" si="7"/>
        <v>157956</v>
      </c>
      <c r="H132" s="81"/>
      <c r="I132" s="44"/>
      <c r="J132" s="44"/>
    </row>
    <row r="133" spans="2:10" s="3" customFormat="1" ht="15" customHeight="1" x14ac:dyDescent="0.3">
      <c r="B133" s="42">
        <v>14</v>
      </c>
      <c r="C133" s="86" t="s">
        <v>70</v>
      </c>
      <c r="D133" s="26">
        <v>0</v>
      </c>
      <c r="E133" s="26">
        <v>0</v>
      </c>
      <c r="F133" s="49">
        <f t="shared" si="6"/>
        <v>0</v>
      </c>
      <c r="G133" s="84">
        <f t="shared" si="7"/>
        <v>157956</v>
      </c>
      <c r="H133" s="81"/>
      <c r="I133" s="44"/>
      <c r="J133" s="44"/>
    </row>
    <row r="134" spans="2:10" s="3" customFormat="1" ht="14.4" hidden="1" x14ac:dyDescent="0.3">
      <c r="B134" s="42">
        <v>15</v>
      </c>
      <c r="C134" s="40" t="s">
        <v>71</v>
      </c>
      <c r="D134" s="26"/>
      <c r="E134" s="26"/>
      <c r="F134" s="49">
        <f t="shared" si="6"/>
        <v>0</v>
      </c>
      <c r="G134" s="84">
        <f t="shared" si="7"/>
        <v>157956</v>
      </c>
      <c r="H134" s="81"/>
      <c r="I134" s="44"/>
      <c r="J134" s="44"/>
    </row>
    <row r="135" spans="2:10" s="3" customFormat="1" ht="14.4" hidden="1" x14ac:dyDescent="0.3">
      <c r="B135" s="42">
        <v>16</v>
      </c>
      <c r="C135" s="40" t="s">
        <v>72</v>
      </c>
      <c r="D135" s="26"/>
      <c r="E135" s="26"/>
      <c r="F135" s="49">
        <f t="shared" si="6"/>
        <v>0</v>
      </c>
      <c r="G135" s="84">
        <f t="shared" si="7"/>
        <v>157956</v>
      </c>
      <c r="H135" s="81"/>
      <c r="I135" s="44"/>
      <c r="J135" s="44"/>
    </row>
    <row r="136" spans="2:10" s="3" customFormat="1" ht="14.4" hidden="1" x14ac:dyDescent="0.3">
      <c r="B136" s="42">
        <v>17</v>
      </c>
      <c r="C136" s="40" t="s">
        <v>73</v>
      </c>
      <c r="D136" s="26"/>
      <c r="E136" s="26"/>
      <c r="F136" s="49">
        <f t="shared" si="6"/>
        <v>0</v>
      </c>
      <c r="G136" s="84">
        <f t="shared" si="7"/>
        <v>157956</v>
      </c>
      <c r="H136" s="81"/>
      <c r="I136" s="44"/>
      <c r="J136" s="44"/>
    </row>
    <row r="137" spans="2:10" s="3" customFormat="1" ht="14.4" hidden="1" x14ac:dyDescent="0.3">
      <c r="B137" s="42">
        <v>18</v>
      </c>
      <c r="C137" s="40" t="s">
        <v>74</v>
      </c>
      <c r="D137" s="26"/>
      <c r="E137" s="26"/>
      <c r="F137" s="49">
        <f t="shared" si="6"/>
        <v>0</v>
      </c>
      <c r="G137" s="84">
        <f t="shared" si="7"/>
        <v>157956</v>
      </c>
      <c r="H137" s="81"/>
      <c r="I137" s="44"/>
      <c r="J137" s="44"/>
    </row>
    <row r="138" spans="2:10" s="3" customFormat="1" ht="14.4" hidden="1" x14ac:dyDescent="0.3">
      <c r="B138" s="42">
        <v>19</v>
      </c>
      <c r="C138" s="40" t="s">
        <v>75</v>
      </c>
      <c r="D138" s="26"/>
      <c r="E138" s="26"/>
      <c r="F138" s="49">
        <f t="shared" si="6"/>
        <v>0</v>
      </c>
      <c r="G138" s="84">
        <f t="shared" si="7"/>
        <v>157956</v>
      </c>
      <c r="H138" s="81"/>
      <c r="I138" s="44"/>
      <c r="J138" s="44"/>
    </row>
    <row r="139" spans="2:10" s="3" customFormat="1" ht="14.4" hidden="1" x14ac:dyDescent="0.3">
      <c r="B139" s="42">
        <v>20</v>
      </c>
      <c r="C139" s="40" t="s">
        <v>76</v>
      </c>
      <c r="D139" s="26"/>
      <c r="E139" s="26"/>
      <c r="F139" s="49">
        <f t="shared" si="6"/>
        <v>0</v>
      </c>
      <c r="G139" s="84">
        <f t="shared" si="7"/>
        <v>157956</v>
      </c>
      <c r="H139" s="81"/>
      <c r="I139" s="44"/>
      <c r="J139" s="44"/>
    </row>
    <row r="140" spans="2:10" s="3" customFormat="1" ht="14.4" hidden="1" x14ac:dyDescent="0.3">
      <c r="B140" s="42">
        <v>21</v>
      </c>
      <c r="C140" s="40" t="s">
        <v>77</v>
      </c>
      <c r="D140" s="26"/>
      <c r="E140" s="26"/>
      <c r="F140" s="49">
        <f t="shared" si="6"/>
        <v>0</v>
      </c>
      <c r="G140" s="84">
        <f t="shared" si="7"/>
        <v>157956</v>
      </c>
      <c r="H140" s="81"/>
      <c r="I140" s="44"/>
      <c r="J140" s="44"/>
    </row>
    <row r="141" spans="2:10" s="3" customFormat="1" ht="14.4" hidden="1" x14ac:dyDescent="0.3">
      <c r="B141" s="42">
        <v>22</v>
      </c>
      <c r="C141" s="40" t="s">
        <v>78</v>
      </c>
      <c r="D141" s="26"/>
      <c r="E141" s="26"/>
      <c r="F141" s="49">
        <f t="shared" si="6"/>
        <v>0</v>
      </c>
      <c r="G141" s="84">
        <f t="shared" si="7"/>
        <v>157956</v>
      </c>
      <c r="H141" s="81"/>
      <c r="I141" s="44"/>
      <c r="J141" s="44"/>
    </row>
    <row r="142" spans="2:10" s="3" customFormat="1" ht="14.4" hidden="1" x14ac:dyDescent="0.3">
      <c r="B142" s="42">
        <v>23</v>
      </c>
      <c r="C142" s="40" t="s">
        <v>79</v>
      </c>
      <c r="D142" s="26"/>
      <c r="E142" s="26"/>
      <c r="F142" s="49">
        <f t="shared" si="6"/>
        <v>0</v>
      </c>
      <c r="G142" s="84">
        <f t="shared" si="7"/>
        <v>157956</v>
      </c>
      <c r="H142" s="81"/>
      <c r="I142" s="44"/>
      <c r="J142" s="44"/>
    </row>
    <row r="143" spans="2:10" s="3" customFormat="1" ht="14.4" hidden="1" x14ac:dyDescent="0.3">
      <c r="B143" s="42">
        <v>24</v>
      </c>
      <c r="C143" s="40" t="s">
        <v>80</v>
      </c>
      <c r="D143" s="26"/>
      <c r="E143" s="26"/>
      <c r="F143" s="49">
        <f t="shared" si="6"/>
        <v>0</v>
      </c>
      <c r="G143" s="84">
        <f t="shared" si="7"/>
        <v>157956</v>
      </c>
      <c r="H143" s="81"/>
      <c r="I143" s="44"/>
      <c r="J143" s="44"/>
    </row>
    <row r="144" spans="2:10" s="3" customFormat="1" ht="14.4" hidden="1" x14ac:dyDescent="0.3">
      <c r="B144" s="42">
        <v>25</v>
      </c>
      <c r="C144" s="87" t="s">
        <v>81</v>
      </c>
      <c r="D144" s="26"/>
      <c r="E144" s="26"/>
      <c r="F144" s="49">
        <f t="shared" si="6"/>
        <v>0</v>
      </c>
      <c r="G144" s="84">
        <f t="shared" si="7"/>
        <v>157956</v>
      </c>
      <c r="H144" s="81"/>
      <c r="I144" s="44"/>
      <c r="J144" s="44"/>
    </row>
    <row r="145" spans="1:10" s="3" customFormat="1" ht="14.4" hidden="1" x14ac:dyDescent="0.3">
      <c r="B145" s="42">
        <v>26</v>
      </c>
      <c r="C145" s="87" t="s">
        <v>82</v>
      </c>
      <c r="D145" s="33"/>
      <c r="E145" s="33"/>
      <c r="F145" s="66">
        <f t="shared" si="6"/>
        <v>0</v>
      </c>
      <c r="G145" s="88">
        <f t="shared" si="7"/>
        <v>157956</v>
      </c>
      <c r="H145" s="81"/>
      <c r="I145" s="44"/>
      <c r="J145" s="44"/>
    </row>
    <row r="146" spans="1:10" ht="14.4" x14ac:dyDescent="0.3">
      <c r="A146" s="3"/>
      <c r="B146" s="5" t="s">
        <v>57</v>
      </c>
      <c r="C146" s="89" t="s">
        <v>57</v>
      </c>
      <c r="D146" s="90" t="s">
        <v>57</v>
      </c>
      <c r="E146" s="90" t="s">
        <v>57</v>
      </c>
      <c r="F146" s="90" t="s">
        <v>57</v>
      </c>
      <c r="G146" s="90" t="s">
        <v>57</v>
      </c>
      <c r="H146" s="6" t="s">
        <v>57</v>
      </c>
      <c r="I146" s="3"/>
    </row>
    <row r="147" spans="1:10" ht="14.4" x14ac:dyDescent="0.3">
      <c r="A147" s="3"/>
      <c r="B147" s="8" t="s">
        <v>39</v>
      </c>
      <c r="C147" s="91"/>
      <c r="D147" s="90" t="s">
        <v>57</v>
      </c>
      <c r="E147" s="90" t="s">
        <v>57</v>
      </c>
      <c r="F147" s="90" t="s">
        <v>57</v>
      </c>
      <c r="G147" s="90" t="s">
        <v>57</v>
      </c>
      <c r="H147" s="6" t="s">
        <v>57</v>
      </c>
      <c r="I147" s="3"/>
    </row>
    <row r="148" spans="1:10" ht="14.4" x14ac:dyDescent="0.3">
      <c r="A148" s="3"/>
      <c r="B148" s="9" t="s">
        <v>40</v>
      </c>
      <c r="C148" s="5"/>
      <c r="D148" s="6"/>
      <c r="E148" s="6"/>
      <c r="F148" s="92"/>
      <c r="G148" s="92"/>
      <c r="H148" s="93"/>
      <c r="I148" s="3"/>
    </row>
    <row r="149" spans="1:10" ht="14.4" x14ac:dyDescent="0.3">
      <c r="A149" s="3"/>
      <c r="B149" s="9" t="s">
        <v>41</v>
      </c>
      <c r="C149" s="5"/>
      <c r="D149" s="6"/>
      <c r="E149" s="6"/>
      <c r="F149" s="92"/>
      <c r="G149" s="90" t="s">
        <v>57</v>
      </c>
      <c r="H149" s="6" t="s">
        <v>57</v>
      </c>
      <c r="I149" s="3"/>
    </row>
    <row r="150" spans="1:10" ht="14.4" x14ac:dyDescent="0.3">
      <c r="A150" s="3"/>
      <c r="B150" s="9" t="s">
        <v>42</v>
      </c>
      <c r="C150" s="5"/>
      <c r="D150" s="6"/>
      <c r="E150" s="6"/>
      <c r="F150" s="90" t="s">
        <v>57</v>
      </c>
      <c r="G150" s="90" t="s">
        <v>57</v>
      </c>
      <c r="H150" s="6" t="s">
        <v>57</v>
      </c>
      <c r="I150" s="3"/>
    </row>
    <row r="151" spans="1:10" ht="14.4" x14ac:dyDescent="0.3">
      <c r="A151" s="3"/>
      <c r="B151" s="3"/>
      <c r="C151" s="73"/>
      <c r="D151" s="74"/>
      <c r="E151" s="74"/>
      <c r="F151" s="74"/>
      <c r="G151" s="74"/>
      <c r="H151" s="41"/>
      <c r="I151" s="3"/>
    </row>
    <row r="152" spans="1:10" ht="14.4" x14ac:dyDescent="0.3">
      <c r="A152" s="3"/>
      <c r="B152" s="69" t="s">
        <v>59</v>
      </c>
      <c r="C152" s="70"/>
      <c r="D152" s="71"/>
      <c r="E152" s="71"/>
      <c r="F152" s="71"/>
      <c r="G152" s="71"/>
      <c r="H152" s="72"/>
      <c r="I152" s="3"/>
    </row>
    <row r="153" spans="1:10" ht="14.4" x14ac:dyDescent="0.3">
      <c r="A153" s="3"/>
      <c r="B153" s="69" t="s">
        <v>56</v>
      </c>
      <c r="C153" s="70"/>
      <c r="D153" s="71"/>
      <c r="E153" s="71" t="s">
        <v>57</v>
      </c>
      <c r="F153" s="71" t="s">
        <v>57</v>
      </c>
      <c r="G153" s="71" t="s">
        <v>57</v>
      </c>
      <c r="H153" s="72" t="s">
        <v>57</v>
      </c>
      <c r="I153" s="3"/>
    </row>
    <row r="154" spans="1:10" ht="14.4" x14ac:dyDescent="0.3">
      <c r="A154" s="3"/>
      <c r="B154" s="3"/>
      <c r="C154" s="73"/>
      <c r="D154" s="74"/>
      <c r="E154" s="74"/>
      <c r="F154" s="74"/>
      <c r="G154" s="74"/>
      <c r="H154" s="41"/>
      <c r="I154" s="3"/>
    </row>
    <row r="155" spans="1:10" ht="14.4" x14ac:dyDescent="0.3">
      <c r="A155" s="3"/>
      <c r="B155" s="3"/>
      <c r="C155" s="73"/>
      <c r="D155" s="74"/>
      <c r="E155" s="74"/>
      <c r="F155" s="74"/>
      <c r="G155" s="74"/>
      <c r="H155" s="41"/>
      <c r="I155" s="3"/>
    </row>
    <row r="156" spans="1:10" ht="16.5" customHeight="1" x14ac:dyDescent="0.35">
      <c r="A156" s="34"/>
      <c r="B156" s="35" t="s">
        <v>57</v>
      </c>
      <c r="C156" s="75" t="s">
        <v>57</v>
      </c>
      <c r="D156" s="187" t="s">
        <v>60</v>
      </c>
      <c r="E156" s="187"/>
      <c r="F156" s="187"/>
      <c r="G156" s="187"/>
      <c r="H156" s="187"/>
      <c r="I156" s="2" t="s">
        <v>0</v>
      </c>
    </row>
    <row r="157" spans="1:10" ht="15.9" customHeight="1" x14ac:dyDescent="0.3">
      <c r="A157" s="3"/>
      <c r="B157" s="128" t="s">
        <v>84</v>
      </c>
      <c r="C157" s="128"/>
      <c r="D157" s="128"/>
      <c r="E157" s="128"/>
      <c r="F157" s="128"/>
      <c r="G157" s="128"/>
      <c r="H157" s="128"/>
      <c r="I157" s="2" t="s">
        <v>1</v>
      </c>
    </row>
    <row r="158" spans="1:10" ht="14.4" x14ac:dyDescent="0.3">
      <c r="A158" s="3"/>
      <c r="B158" s="15"/>
      <c r="C158" s="16"/>
      <c r="D158" s="118" t="s">
        <v>6</v>
      </c>
      <c r="E158" s="118"/>
      <c r="F158" s="118"/>
      <c r="G158" s="118"/>
      <c r="H158" s="181" t="s">
        <v>57</v>
      </c>
      <c r="I158" s="2" t="s">
        <v>2</v>
      </c>
    </row>
    <row r="159" spans="1:10" ht="14.4" x14ac:dyDescent="0.3">
      <c r="A159" s="3"/>
      <c r="B159" s="13"/>
      <c r="C159" s="14"/>
      <c r="D159" s="125" t="s">
        <v>9</v>
      </c>
      <c r="E159" s="125"/>
      <c r="F159" s="125"/>
      <c r="G159" s="125"/>
      <c r="H159" s="181"/>
      <c r="I159" s="2" t="s">
        <v>3</v>
      </c>
    </row>
    <row r="160" spans="1:10" ht="14.4" x14ac:dyDescent="0.3">
      <c r="A160" s="3"/>
      <c r="B160" s="132" t="s">
        <v>10</v>
      </c>
      <c r="C160" s="134" t="s">
        <v>11</v>
      </c>
      <c r="D160" s="62" t="s">
        <v>12</v>
      </c>
      <c r="E160" s="62" t="s">
        <v>13</v>
      </c>
      <c r="F160" s="62" t="s">
        <v>14</v>
      </c>
      <c r="G160" s="76" t="s">
        <v>15</v>
      </c>
      <c r="H160" s="176" t="s">
        <v>57</v>
      </c>
      <c r="I160" s="2" t="s">
        <v>4</v>
      </c>
    </row>
    <row r="161" spans="1:11" ht="14.4" x14ac:dyDescent="0.3">
      <c r="A161" s="3"/>
      <c r="B161" s="132"/>
      <c r="C161" s="134"/>
      <c r="D161" s="145" t="s">
        <v>20</v>
      </c>
      <c r="E161" s="145"/>
      <c r="F161" s="145"/>
      <c r="G161" s="145"/>
      <c r="H161" s="176"/>
      <c r="I161" s="3"/>
    </row>
    <row r="162" spans="1:11" ht="14.4" x14ac:dyDescent="0.3">
      <c r="A162" s="3"/>
      <c r="B162" s="42">
        <v>4</v>
      </c>
      <c r="C162" s="77" t="s">
        <v>21</v>
      </c>
      <c r="D162" s="78">
        <v>54998.5</v>
      </c>
      <c r="E162" s="26">
        <v>0</v>
      </c>
      <c r="F162" s="79">
        <f>+E162+D162</f>
        <v>54998.5</v>
      </c>
      <c r="G162" s="80">
        <f>+F162</f>
        <v>54998.5</v>
      </c>
      <c r="H162" s="81" t="s">
        <v>57</v>
      </c>
      <c r="I162" s="3"/>
    </row>
    <row r="163" spans="1:11" ht="14.4" x14ac:dyDescent="0.3">
      <c r="A163" s="3"/>
      <c r="B163" s="82">
        <v>5</v>
      </c>
      <c r="C163" s="83" t="s">
        <v>22</v>
      </c>
      <c r="D163" s="78">
        <v>284978.8</v>
      </c>
      <c r="E163" s="26">
        <v>0</v>
      </c>
      <c r="F163" s="79">
        <f>+E163+D163</f>
        <v>284978.8</v>
      </c>
      <c r="G163" s="80">
        <f>+G162+F163</f>
        <v>339977.3</v>
      </c>
      <c r="H163" s="81" t="s">
        <v>57</v>
      </c>
      <c r="I163" s="3"/>
    </row>
    <row r="164" spans="1:11" ht="14.4" x14ac:dyDescent="0.3">
      <c r="A164" s="3"/>
      <c r="B164" s="82">
        <v>6</v>
      </c>
      <c r="C164" s="83" t="s">
        <v>23</v>
      </c>
      <c r="D164" s="78">
        <v>180407</v>
      </c>
      <c r="E164" s="26">
        <v>0</v>
      </c>
      <c r="F164" s="79">
        <f>+E164+D164</f>
        <v>180407</v>
      </c>
      <c r="G164" s="80">
        <f>+G163+F164</f>
        <v>520384.3</v>
      </c>
      <c r="H164" s="81" t="s">
        <v>57</v>
      </c>
      <c r="I164" s="3"/>
    </row>
    <row r="165" spans="1:11" ht="14.4" x14ac:dyDescent="0.3">
      <c r="A165" s="3"/>
      <c r="B165" s="82">
        <v>7</v>
      </c>
      <c r="C165" s="83" t="s">
        <v>24</v>
      </c>
      <c r="D165" s="78">
        <v>315354.52</v>
      </c>
      <c r="E165" s="26">
        <v>33701</v>
      </c>
      <c r="F165" s="79">
        <f>+E165+D165</f>
        <v>349055.52</v>
      </c>
      <c r="G165" s="80">
        <f>+G164+F165</f>
        <v>869439.82000000007</v>
      </c>
      <c r="H165" s="81" t="s">
        <v>57</v>
      </c>
      <c r="I165" s="3"/>
    </row>
    <row r="166" spans="1:11" ht="14.4" x14ac:dyDescent="0.3">
      <c r="A166" s="3"/>
      <c r="B166" s="42">
        <v>8</v>
      </c>
      <c r="C166" s="40" t="s">
        <v>25</v>
      </c>
      <c r="D166" s="26">
        <v>291774.5</v>
      </c>
      <c r="E166" s="26">
        <v>0</v>
      </c>
      <c r="F166" s="79">
        <f>+E166+D166</f>
        <v>291774.5</v>
      </c>
      <c r="G166" s="84">
        <f>+G165+F166</f>
        <v>1161214.32</v>
      </c>
      <c r="H166" s="81"/>
      <c r="I166" s="10"/>
      <c r="J166" s="3"/>
      <c r="K166" s="3"/>
    </row>
    <row r="167" spans="1:11" s="3" customFormat="1" ht="14.4" x14ac:dyDescent="0.3">
      <c r="B167" s="42">
        <v>9</v>
      </c>
      <c r="C167" s="40" t="s">
        <v>26</v>
      </c>
      <c r="D167" s="26">
        <v>159144.5</v>
      </c>
      <c r="E167" s="26">
        <v>0</v>
      </c>
      <c r="F167" s="49">
        <f t="shared" ref="F167:F184" si="8">+E167+D167</f>
        <v>159144.5</v>
      </c>
      <c r="G167" s="84">
        <f t="shared" ref="G167:G184" si="9">+G166+F167</f>
        <v>1320358.82</v>
      </c>
      <c r="H167" s="81"/>
      <c r="I167" s="44"/>
      <c r="J167" s="44"/>
    </row>
    <row r="168" spans="1:11" s="3" customFormat="1" ht="14.4" x14ac:dyDescent="0.3">
      <c r="B168" s="42">
        <v>10</v>
      </c>
      <c r="C168" s="40" t="s">
        <v>67</v>
      </c>
      <c r="D168" s="26">
        <v>1295644.01</v>
      </c>
      <c r="E168" s="26">
        <v>29489.51</v>
      </c>
      <c r="F168" s="49">
        <f>+E168+D168</f>
        <v>1325133.52</v>
      </c>
      <c r="G168" s="84">
        <f>+G167+F168</f>
        <v>2645492.34</v>
      </c>
      <c r="H168" s="81"/>
      <c r="I168" s="44"/>
      <c r="J168" s="44"/>
    </row>
    <row r="169" spans="1:11" s="3" customFormat="1" ht="14.4" x14ac:dyDescent="0.3">
      <c r="B169" s="42">
        <v>11</v>
      </c>
      <c r="C169" s="40" t="s">
        <v>68</v>
      </c>
      <c r="D169" s="26">
        <v>291293.5</v>
      </c>
      <c r="E169" s="26">
        <v>0</v>
      </c>
      <c r="F169" s="49">
        <f t="shared" si="8"/>
        <v>291293.5</v>
      </c>
      <c r="G169" s="84">
        <f>+G168+F169</f>
        <v>2936785.84</v>
      </c>
      <c r="H169" s="81"/>
      <c r="I169" s="44"/>
      <c r="J169" s="44"/>
    </row>
    <row r="170" spans="1:11" s="3" customFormat="1" ht="14.4" x14ac:dyDescent="0.3">
      <c r="B170" s="42">
        <v>12</v>
      </c>
      <c r="C170" s="40" t="s">
        <v>83</v>
      </c>
      <c r="D170" s="26">
        <v>431881</v>
      </c>
      <c r="E170" s="26">
        <v>0</v>
      </c>
      <c r="F170" s="49">
        <f t="shared" si="8"/>
        <v>431881</v>
      </c>
      <c r="G170" s="84">
        <f t="shared" si="9"/>
        <v>3368666.84</v>
      </c>
      <c r="H170" s="81"/>
      <c r="I170" s="44"/>
      <c r="J170" s="44"/>
    </row>
    <row r="171" spans="1:11" s="3" customFormat="1" ht="14.4" x14ac:dyDescent="0.3">
      <c r="B171" s="42">
        <v>13</v>
      </c>
      <c r="C171" s="40" t="s">
        <v>69</v>
      </c>
      <c r="D171" s="26">
        <v>269828</v>
      </c>
      <c r="E171" s="26">
        <v>0</v>
      </c>
      <c r="F171" s="49">
        <f t="shared" si="8"/>
        <v>269828</v>
      </c>
      <c r="G171" s="84">
        <f t="shared" si="9"/>
        <v>3638494.84</v>
      </c>
      <c r="H171" s="81"/>
      <c r="I171" s="44"/>
      <c r="J171" s="44"/>
    </row>
    <row r="172" spans="1:11" s="3" customFormat="1" ht="15.6" customHeight="1" x14ac:dyDescent="0.3">
      <c r="B172" s="42">
        <v>14</v>
      </c>
      <c r="C172" s="86" t="s">
        <v>70</v>
      </c>
      <c r="D172" s="26">
        <v>168135</v>
      </c>
      <c r="E172" s="26">
        <v>0</v>
      </c>
      <c r="F172" s="49">
        <f t="shared" si="8"/>
        <v>168135</v>
      </c>
      <c r="G172" s="84">
        <f t="shared" si="9"/>
        <v>3806629.84</v>
      </c>
      <c r="H172" s="81"/>
      <c r="I172" s="44"/>
      <c r="J172" s="44"/>
    </row>
    <row r="173" spans="1:11" s="3" customFormat="1" ht="14.4" hidden="1" x14ac:dyDescent="0.3">
      <c r="B173" s="42">
        <v>15</v>
      </c>
      <c r="C173" s="40" t="s">
        <v>71</v>
      </c>
      <c r="D173" s="26"/>
      <c r="E173" s="26"/>
      <c r="F173" s="49">
        <f t="shared" si="8"/>
        <v>0</v>
      </c>
      <c r="G173" s="84">
        <f t="shared" si="9"/>
        <v>3806629.84</v>
      </c>
      <c r="H173" s="81"/>
      <c r="I173" s="44"/>
      <c r="J173" s="44"/>
    </row>
    <row r="174" spans="1:11" s="3" customFormat="1" ht="14.4" hidden="1" x14ac:dyDescent="0.3">
      <c r="B174" s="42">
        <v>16</v>
      </c>
      <c r="C174" s="40" t="s">
        <v>72</v>
      </c>
      <c r="D174" s="26"/>
      <c r="E174" s="26"/>
      <c r="F174" s="49">
        <f t="shared" si="8"/>
        <v>0</v>
      </c>
      <c r="G174" s="84">
        <f t="shared" si="9"/>
        <v>3806629.84</v>
      </c>
      <c r="H174" s="81"/>
      <c r="I174" s="44"/>
      <c r="J174" s="44"/>
    </row>
    <row r="175" spans="1:11" s="3" customFormat="1" ht="14.4" hidden="1" x14ac:dyDescent="0.3">
      <c r="B175" s="42">
        <v>17</v>
      </c>
      <c r="C175" s="40" t="s">
        <v>73</v>
      </c>
      <c r="D175" s="26"/>
      <c r="E175" s="26"/>
      <c r="F175" s="49">
        <f t="shared" si="8"/>
        <v>0</v>
      </c>
      <c r="G175" s="84">
        <f t="shared" si="9"/>
        <v>3806629.84</v>
      </c>
      <c r="H175" s="81"/>
      <c r="I175" s="44"/>
      <c r="J175" s="44"/>
    </row>
    <row r="176" spans="1:11" s="3" customFormat="1" ht="14.4" hidden="1" x14ac:dyDescent="0.3">
      <c r="B176" s="42">
        <v>18</v>
      </c>
      <c r="C176" s="40" t="s">
        <v>74</v>
      </c>
      <c r="D176" s="26"/>
      <c r="E176" s="26"/>
      <c r="F176" s="49">
        <f t="shared" si="8"/>
        <v>0</v>
      </c>
      <c r="G176" s="84">
        <f t="shared" si="9"/>
        <v>3806629.84</v>
      </c>
      <c r="H176" s="81"/>
      <c r="I176" s="44"/>
      <c r="J176" s="44"/>
    </row>
    <row r="177" spans="1:11" s="3" customFormat="1" ht="14.4" hidden="1" x14ac:dyDescent="0.3">
      <c r="B177" s="42">
        <v>19</v>
      </c>
      <c r="C177" s="40" t="s">
        <v>75</v>
      </c>
      <c r="D177" s="26"/>
      <c r="E177" s="26"/>
      <c r="F177" s="49">
        <f t="shared" si="8"/>
        <v>0</v>
      </c>
      <c r="G177" s="84">
        <f t="shared" si="9"/>
        <v>3806629.84</v>
      </c>
      <c r="H177" s="81"/>
      <c r="I177" s="44"/>
      <c r="J177" s="44"/>
    </row>
    <row r="178" spans="1:11" s="3" customFormat="1" ht="14.4" hidden="1" x14ac:dyDescent="0.3">
      <c r="B178" s="42">
        <v>20</v>
      </c>
      <c r="C178" s="40" t="s">
        <v>76</v>
      </c>
      <c r="D178" s="26"/>
      <c r="E178" s="26"/>
      <c r="F178" s="49">
        <f t="shared" si="8"/>
        <v>0</v>
      </c>
      <c r="G178" s="84">
        <f t="shared" si="9"/>
        <v>3806629.84</v>
      </c>
      <c r="H178" s="81"/>
      <c r="I178" s="44"/>
      <c r="J178" s="44"/>
    </row>
    <row r="179" spans="1:11" s="3" customFormat="1" ht="14.4" hidden="1" x14ac:dyDescent="0.3">
      <c r="B179" s="42">
        <v>21</v>
      </c>
      <c r="C179" s="40" t="s">
        <v>77</v>
      </c>
      <c r="D179" s="26"/>
      <c r="E179" s="26"/>
      <c r="F179" s="49">
        <f t="shared" si="8"/>
        <v>0</v>
      </c>
      <c r="G179" s="84">
        <f t="shared" si="9"/>
        <v>3806629.84</v>
      </c>
      <c r="H179" s="81"/>
      <c r="I179" s="44"/>
      <c r="J179" s="44"/>
    </row>
    <row r="180" spans="1:11" s="3" customFormat="1" ht="14.4" hidden="1" x14ac:dyDescent="0.3">
      <c r="B180" s="42">
        <v>22</v>
      </c>
      <c r="C180" s="40" t="s">
        <v>78</v>
      </c>
      <c r="D180" s="26"/>
      <c r="E180" s="26"/>
      <c r="F180" s="49">
        <f t="shared" si="8"/>
        <v>0</v>
      </c>
      <c r="G180" s="84">
        <f t="shared" si="9"/>
        <v>3806629.84</v>
      </c>
      <c r="H180" s="81"/>
      <c r="I180" s="44"/>
      <c r="J180" s="44"/>
    </row>
    <row r="181" spans="1:11" s="3" customFormat="1" ht="14.4" hidden="1" x14ac:dyDescent="0.3">
      <c r="B181" s="42">
        <v>23</v>
      </c>
      <c r="C181" s="40" t="s">
        <v>79</v>
      </c>
      <c r="D181" s="26"/>
      <c r="E181" s="26"/>
      <c r="F181" s="49">
        <f t="shared" si="8"/>
        <v>0</v>
      </c>
      <c r="G181" s="84">
        <f t="shared" si="9"/>
        <v>3806629.84</v>
      </c>
      <c r="H181" s="81"/>
      <c r="I181" s="44"/>
      <c r="J181" s="44"/>
    </row>
    <row r="182" spans="1:11" s="3" customFormat="1" ht="14.4" hidden="1" x14ac:dyDescent="0.3">
      <c r="B182" s="42">
        <v>24</v>
      </c>
      <c r="C182" s="40" t="s">
        <v>80</v>
      </c>
      <c r="D182" s="26"/>
      <c r="E182" s="26"/>
      <c r="F182" s="49">
        <f t="shared" si="8"/>
        <v>0</v>
      </c>
      <c r="G182" s="84">
        <f t="shared" si="9"/>
        <v>3806629.84</v>
      </c>
      <c r="H182" s="81"/>
      <c r="I182" s="44"/>
      <c r="J182" s="44"/>
    </row>
    <row r="183" spans="1:11" s="3" customFormat="1" ht="14.4" hidden="1" x14ac:dyDescent="0.3">
      <c r="B183" s="42">
        <v>25</v>
      </c>
      <c r="C183" s="87" t="s">
        <v>81</v>
      </c>
      <c r="D183" s="26"/>
      <c r="E183" s="26"/>
      <c r="F183" s="49">
        <f t="shared" si="8"/>
        <v>0</v>
      </c>
      <c r="G183" s="84">
        <f t="shared" si="9"/>
        <v>3806629.84</v>
      </c>
      <c r="H183" s="81"/>
      <c r="I183" s="44"/>
      <c r="J183" s="44"/>
    </row>
    <row r="184" spans="1:11" s="3" customFormat="1" ht="14.4" hidden="1" x14ac:dyDescent="0.3">
      <c r="B184" s="42">
        <v>26</v>
      </c>
      <c r="C184" s="87" t="s">
        <v>82</v>
      </c>
      <c r="D184" s="33"/>
      <c r="E184" s="33"/>
      <c r="F184" s="66">
        <f t="shared" si="8"/>
        <v>0</v>
      </c>
      <c r="G184" s="88">
        <f t="shared" si="9"/>
        <v>3806629.84</v>
      </c>
      <c r="H184" s="81"/>
      <c r="I184" s="44"/>
      <c r="J184" s="44"/>
    </row>
    <row r="185" spans="1:11" ht="14.4" x14ac:dyDescent="0.3">
      <c r="A185" s="3"/>
      <c r="B185" s="97"/>
      <c r="C185" s="98"/>
      <c r="D185" s="44"/>
      <c r="E185" s="44"/>
      <c r="F185" s="99"/>
      <c r="G185" s="44"/>
      <c r="H185" s="81"/>
      <c r="I185" s="10"/>
      <c r="J185" s="3"/>
      <c r="K185" s="3"/>
    </row>
    <row r="186" spans="1:11" ht="14.4" x14ac:dyDescent="0.3">
      <c r="A186" s="3"/>
      <c r="B186" s="8" t="s">
        <v>39</v>
      </c>
      <c r="C186" s="91"/>
      <c r="D186" s="90" t="s">
        <v>57</v>
      </c>
      <c r="E186" s="90" t="s">
        <v>57</v>
      </c>
      <c r="F186" s="90" t="s">
        <v>57</v>
      </c>
      <c r="G186" s="90" t="s">
        <v>57</v>
      </c>
      <c r="H186" s="6" t="s">
        <v>57</v>
      </c>
      <c r="I186" s="3"/>
    </row>
    <row r="187" spans="1:11" ht="14.4" x14ac:dyDescent="0.3">
      <c r="A187" s="3"/>
      <c r="B187" s="9" t="s">
        <v>40</v>
      </c>
      <c r="C187" s="5"/>
      <c r="D187" s="6"/>
      <c r="E187" s="6"/>
      <c r="F187" s="92"/>
      <c r="G187" s="92"/>
      <c r="H187" s="93"/>
      <c r="I187" s="3"/>
    </row>
    <row r="188" spans="1:11" ht="14.4" x14ac:dyDescent="0.3">
      <c r="A188" s="3"/>
      <c r="B188" s="9" t="s">
        <v>41</v>
      </c>
      <c r="C188" s="5"/>
      <c r="D188" s="6"/>
      <c r="E188" s="6"/>
      <c r="F188" s="92"/>
      <c r="G188" s="90" t="s">
        <v>57</v>
      </c>
      <c r="H188" s="6" t="s">
        <v>57</v>
      </c>
      <c r="I188" s="3"/>
    </row>
    <row r="189" spans="1:11" ht="14.4" x14ac:dyDescent="0.3">
      <c r="A189" s="3"/>
      <c r="B189" s="9" t="s">
        <v>42</v>
      </c>
      <c r="C189" s="5"/>
      <c r="D189" s="6"/>
      <c r="E189" s="6"/>
      <c r="F189" s="90" t="s">
        <v>57</v>
      </c>
      <c r="G189" s="90" t="s">
        <v>57</v>
      </c>
      <c r="H189" s="6" t="s">
        <v>57</v>
      </c>
      <c r="I189" s="3"/>
    </row>
    <row r="190" spans="1:11" ht="14.4" x14ac:dyDescent="0.3">
      <c r="A190" s="3"/>
      <c r="B190" s="9" t="s">
        <v>57</v>
      </c>
      <c r="C190" s="89" t="s">
        <v>57</v>
      </c>
      <c r="D190" s="90" t="s">
        <v>57</v>
      </c>
      <c r="E190" s="90" t="s">
        <v>57</v>
      </c>
      <c r="F190" s="90" t="s">
        <v>57</v>
      </c>
      <c r="G190" s="90" t="s">
        <v>57</v>
      </c>
      <c r="H190" s="6" t="s">
        <v>57</v>
      </c>
      <c r="I190" s="3"/>
    </row>
    <row r="191" spans="1:11" ht="14.4" x14ac:dyDescent="0.3">
      <c r="A191" s="3"/>
      <c r="B191" s="9" t="s">
        <v>57</v>
      </c>
      <c r="C191" s="89" t="s">
        <v>57</v>
      </c>
      <c r="D191" s="90" t="s">
        <v>57</v>
      </c>
      <c r="E191" s="90" t="s">
        <v>57</v>
      </c>
      <c r="F191" s="90" t="s">
        <v>57</v>
      </c>
      <c r="G191" s="90" t="s">
        <v>57</v>
      </c>
      <c r="H191" s="6" t="s">
        <v>57</v>
      </c>
      <c r="I191" s="3"/>
    </row>
    <row r="192" spans="1:11" ht="18" x14ac:dyDescent="0.35">
      <c r="A192" s="3"/>
      <c r="C192" s="94"/>
      <c r="D192" s="185" t="s">
        <v>43</v>
      </c>
      <c r="E192" s="185"/>
      <c r="F192" s="185"/>
      <c r="G192" s="185"/>
      <c r="H192" s="185"/>
      <c r="I192" s="3"/>
    </row>
    <row r="193" spans="1:11" ht="15.6" x14ac:dyDescent="0.3">
      <c r="A193" s="37"/>
      <c r="B193" s="27" t="s">
        <v>57</v>
      </c>
      <c r="C193" s="95" t="s">
        <v>57</v>
      </c>
      <c r="D193" s="186" t="s">
        <v>60</v>
      </c>
      <c r="E193" s="186"/>
      <c r="F193" s="186"/>
      <c r="G193" s="186"/>
      <c r="H193" s="186"/>
      <c r="I193" s="37"/>
    </row>
    <row r="194" spans="1:11" ht="15.9" customHeight="1" x14ac:dyDescent="0.3">
      <c r="A194" s="3"/>
      <c r="B194" s="128" t="s">
        <v>84</v>
      </c>
      <c r="C194" s="128"/>
      <c r="D194" s="128"/>
      <c r="E194" s="128"/>
      <c r="F194" s="128"/>
      <c r="G194" s="128"/>
      <c r="H194" s="128"/>
      <c r="I194" s="3"/>
    </row>
    <row r="195" spans="1:11" ht="14.4" x14ac:dyDescent="0.3">
      <c r="A195" s="3"/>
      <c r="B195" s="15"/>
      <c r="C195" s="16"/>
      <c r="D195" s="118" t="s">
        <v>6</v>
      </c>
      <c r="E195" s="118"/>
      <c r="F195" s="118"/>
      <c r="G195" s="118"/>
      <c r="H195" s="181" t="s">
        <v>57</v>
      </c>
      <c r="I195" s="3"/>
    </row>
    <row r="196" spans="1:11" ht="14.4" x14ac:dyDescent="0.3">
      <c r="A196" s="3"/>
      <c r="B196" s="13"/>
      <c r="C196" s="14"/>
      <c r="D196" s="125" t="s">
        <v>9</v>
      </c>
      <c r="E196" s="125"/>
      <c r="F196" s="125"/>
      <c r="G196" s="125"/>
      <c r="H196" s="181"/>
      <c r="I196" s="3"/>
    </row>
    <row r="197" spans="1:11" ht="14.4" x14ac:dyDescent="0.3">
      <c r="A197" s="3"/>
      <c r="B197" s="132" t="s">
        <v>10</v>
      </c>
      <c r="C197" s="134" t="s">
        <v>11</v>
      </c>
      <c r="D197" s="62" t="s">
        <v>12</v>
      </c>
      <c r="E197" s="62" t="s">
        <v>13</v>
      </c>
      <c r="F197" s="62" t="s">
        <v>14</v>
      </c>
      <c r="G197" s="76" t="s">
        <v>15</v>
      </c>
      <c r="H197" s="176" t="s">
        <v>57</v>
      </c>
      <c r="I197" s="3"/>
    </row>
    <row r="198" spans="1:11" ht="14.4" x14ac:dyDescent="0.3">
      <c r="A198" s="3"/>
      <c r="B198" s="132"/>
      <c r="C198" s="134"/>
      <c r="D198" s="145" t="s">
        <v>20</v>
      </c>
      <c r="E198" s="145"/>
      <c r="F198" s="145"/>
      <c r="G198" s="145"/>
      <c r="H198" s="176"/>
      <c r="I198" s="3"/>
    </row>
    <row r="199" spans="1:11" ht="14.4" x14ac:dyDescent="0.3">
      <c r="A199" s="3"/>
      <c r="B199" s="42">
        <v>4</v>
      </c>
      <c r="C199" s="77" t="s">
        <v>21</v>
      </c>
      <c r="D199" s="78">
        <v>54998.5</v>
      </c>
      <c r="E199" s="26">
        <v>0</v>
      </c>
      <c r="F199" s="79">
        <f>+E199+D199</f>
        <v>54998.5</v>
      </c>
      <c r="G199" s="80">
        <f>+F199</f>
        <v>54998.5</v>
      </c>
      <c r="H199" s="81" t="s">
        <v>57</v>
      </c>
      <c r="I199" s="3"/>
    </row>
    <row r="200" spans="1:11" ht="14.4" x14ac:dyDescent="0.3">
      <c r="A200" s="3"/>
      <c r="B200" s="82">
        <v>5</v>
      </c>
      <c r="C200" s="83" t="s">
        <v>22</v>
      </c>
      <c r="D200" s="78">
        <v>284978.8</v>
      </c>
      <c r="E200" s="26">
        <v>0</v>
      </c>
      <c r="F200" s="79">
        <f>+E200+D200</f>
        <v>284978.8</v>
      </c>
      <c r="G200" s="80">
        <f>+G199+F200</f>
        <v>339977.3</v>
      </c>
      <c r="H200" s="81" t="s">
        <v>57</v>
      </c>
      <c r="I200" s="3"/>
    </row>
    <row r="201" spans="1:11" ht="14.4" x14ac:dyDescent="0.3">
      <c r="A201" s="3"/>
      <c r="B201" s="82">
        <v>6</v>
      </c>
      <c r="C201" s="83" t="s">
        <v>23</v>
      </c>
      <c r="D201" s="78">
        <v>180407</v>
      </c>
      <c r="E201" s="26">
        <v>0</v>
      </c>
      <c r="F201" s="79">
        <f>+E201+D201</f>
        <v>180407</v>
      </c>
      <c r="G201" s="80">
        <f>+G200+F201</f>
        <v>520384.3</v>
      </c>
      <c r="H201" s="81" t="s">
        <v>57</v>
      </c>
      <c r="I201" s="3"/>
    </row>
    <row r="202" spans="1:11" ht="14.4" x14ac:dyDescent="0.3">
      <c r="A202" s="3"/>
      <c r="B202" s="82">
        <v>7</v>
      </c>
      <c r="C202" s="83" t="s">
        <v>24</v>
      </c>
      <c r="D202" s="78">
        <v>315354.52</v>
      </c>
      <c r="E202" s="26">
        <v>33701</v>
      </c>
      <c r="F202" s="79">
        <f>+E202+D202</f>
        <v>349055.52</v>
      </c>
      <c r="G202" s="80">
        <f>+G201+F202</f>
        <v>869439.82000000007</v>
      </c>
      <c r="H202" s="81" t="s">
        <v>57</v>
      </c>
      <c r="I202" s="3"/>
    </row>
    <row r="203" spans="1:11" ht="14.4" x14ac:dyDescent="0.3">
      <c r="A203" s="3"/>
      <c r="B203" s="42">
        <v>8</v>
      </c>
      <c r="C203" s="40" t="s">
        <v>25</v>
      </c>
      <c r="D203" s="26">
        <v>257132</v>
      </c>
      <c r="E203" s="26">
        <v>0</v>
      </c>
      <c r="F203" s="79">
        <f>+E203+D203</f>
        <v>257132</v>
      </c>
      <c r="G203" s="80">
        <f>+G202+F203</f>
        <v>1126571.82</v>
      </c>
      <c r="H203" s="81"/>
      <c r="I203" s="10"/>
      <c r="J203" s="3"/>
      <c r="K203" s="3"/>
    </row>
    <row r="204" spans="1:11" s="3" customFormat="1" ht="14.4" x14ac:dyDescent="0.3">
      <c r="B204" s="42">
        <v>9</v>
      </c>
      <c r="C204" s="40" t="s">
        <v>26</v>
      </c>
      <c r="D204" s="26">
        <v>159144.5</v>
      </c>
      <c r="E204" s="26">
        <v>0</v>
      </c>
      <c r="F204" s="49">
        <f t="shared" ref="F204:F221" si="10">+E204+D204</f>
        <v>159144.5</v>
      </c>
      <c r="G204" s="84">
        <f t="shared" ref="G204:G221" si="11">+G203+F204</f>
        <v>1285716.32</v>
      </c>
      <c r="H204" s="81"/>
      <c r="I204" s="44"/>
      <c r="J204" s="44"/>
    </row>
    <row r="205" spans="1:11" s="3" customFormat="1" ht="14.4" x14ac:dyDescent="0.3">
      <c r="B205" s="42">
        <v>10</v>
      </c>
      <c r="C205" s="40" t="s">
        <v>67</v>
      </c>
      <c r="D205" s="26">
        <v>694735.01</v>
      </c>
      <c r="E205" s="26">
        <v>29489.51</v>
      </c>
      <c r="F205" s="49">
        <f t="shared" si="10"/>
        <v>724224.52</v>
      </c>
      <c r="G205" s="84">
        <f t="shared" si="11"/>
        <v>2009940.84</v>
      </c>
      <c r="H205" s="81"/>
      <c r="I205" s="44"/>
      <c r="J205" s="44"/>
    </row>
    <row r="206" spans="1:11" s="3" customFormat="1" ht="14.4" x14ac:dyDescent="0.3">
      <c r="B206" s="42">
        <v>11</v>
      </c>
      <c r="C206" s="40" t="s">
        <v>68</v>
      </c>
      <c r="D206" s="26">
        <v>291293.5</v>
      </c>
      <c r="E206" s="26">
        <v>0</v>
      </c>
      <c r="F206" s="49">
        <f t="shared" si="10"/>
        <v>291293.5</v>
      </c>
      <c r="G206" s="84">
        <f t="shared" si="11"/>
        <v>2301234.34</v>
      </c>
      <c r="H206" s="81"/>
      <c r="I206" s="44"/>
      <c r="J206" s="44"/>
    </row>
    <row r="207" spans="1:11" s="3" customFormat="1" ht="14.4" x14ac:dyDescent="0.3">
      <c r="B207" s="42">
        <v>12</v>
      </c>
      <c r="C207" s="40" t="s">
        <v>83</v>
      </c>
      <c r="D207" s="26">
        <v>399630</v>
      </c>
      <c r="E207" s="26">
        <v>0</v>
      </c>
      <c r="F207" s="49">
        <f t="shared" si="10"/>
        <v>399630</v>
      </c>
      <c r="G207" s="84">
        <f t="shared" si="11"/>
        <v>2700864.34</v>
      </c>
      <c r="H207" s="81"/>
      <c r="I207" s="44"/>
      <c r="J207" s="44"/>
    </row>
    <row r="208" spans="1:11" s="3" customFormat="1" ht="14.4" x14ac:dyDescent="0.3">
      <c r="B208" s="42">
        <v>13</v>
      </c>
      <c r="C208" s="40" t="s">
        <v>69</v>
      </c>
      <c r="D208" s="26">
        <v>203822.5</v>
      </c>
      <c r="E208" s="26">
        <v>0</v>
      </c>
      <c r="F208" s="49">
        <f t="shared" si="10"/>
        <v>203822.5</v>
      </c>
      <c r="G208" s="84">
        <f t="shared" si="11"/>
        <v>2904686.84</v>
      </c>
      <c r="H208" s="81"/>
      <c r="I208" s="44"/>
      <c r="J208" s="44"/>
    </row>
    <row r="209" spans="1:10" s="3" customFormat="1" ht="15" customHeight="1" x14ac:dyDescent="0.3">
      <c r="B209" s="42">
        <v>14</v>
      </c>
      <c r="C209" s="86" t="s">
        <v>70</v>
      </c>
      <c r="D209" s="26">
        <v>150517</v>
      </c>
      <c r="E209" s="26">
        <v>0</v>
      </c>
      <c r="F209" s="49">
        <f t="shared" si="10"/>
        <v>150517</v>
      </c>
      <c r="G209" s="84">
        <f t="shared" si="11"/>
        <v>3055203.84</v>
      </c>
      <c r="H209" s="81"/>
      <c r="I209" s="44"/>
      <c r="J209" s="44"/>
    </row>
    <row r="210" spans="1:10" s="3" customFormat="1" ht="14.4" hidden="1" x14ac:dyDescent="0.3">
      <c r="B210" s="42">
        <v>15</v>
      </c>
      <c r="C210" s="40" t="s">
        <v>71</v>
      </c>
      <c r="D210" s="26"/>
      <c r="E210" s="26"/>
      <c r="F210" s="49">
        <f t="shared" si="10"/>
        <v>0</v>
      </c>
      <c r="G210" s="84">
        <f t="shared" si="11"/>
        <v>3055203.84</v>
      </c>
      <c r="H210" s="81"/>
      <c r="I210" s="44"/>
      <c r="J210" s="44"/>
    </row>
    <row r="211" spans="1:10" s="3" customFormat="1" ht="14.4" hidden="1" x14ac:dyDescent="0.3">
      <c r="B211" s="42">
        <v>16</v>
      </c>
      <c r="C211" s="40" t="s">
        <v>72</v>
      </c>
      <c r="D211" s="26"/>
      <c r="E211" s="26"/>
      <c r="F211" s="49">
        <f t="shared" si="10"/>
        <v>0</v>
      </c>
      <c r="G211" s="84">
        <f t="shared" si="11"/>
        <v>3055203.84</v>
      </c>
      <c r="H211" s="81"/>
      <c r="I211" s="44"/>
      <c r="J211" s="44"/>
    </row>
    <row r="212" spans="1:10" s="3" customFormat="1" ht="14.4" hidden="1" x14ac:dyDescent="0.3">
      <c r="B212" s="42">
        <v>17</v>
      </c>
      <c r="C212" s="40" t="s">
        <v>73</v>
      </c>
      <c r="D212" s="26"/>
      <c r="E212" s="26"/>
      <c r="F212" s="49">
        <f t="shared" si="10"/>
        <v>0</v>
      </c>
      <c r="G212" s="84">
        <f t="shared" si="11"/>
        <v>3055203.84</v>
      </c>
      <c r="H212" s="81"/>
      <c r="I212" s="44"/>
      <c r="J212" s="44"/>
    </row>
    <row r="213" spans="1:10" s="3" customFormat="1" ht="14.4" hidden="1" x14ac:dyDescent="0.3">
      <c r="B213" s="42">
        <v>18</v>
      </c>
      <c r="C213" s="40" t="s">
        <v>74</v>
      </c>
      <c r="D213" s="26"/>
      <c r="E213" s="26"/>
      <c r="F213" s="49">
        <f t="shared" si="10"/>
        <v>0</v>
      </c>
      <c r="G213" s="84">
        <f t="shared" si="11"/>
        <v>3055203.84</v>
      </c>
      <c r="H213" s="81"/>
      <c r="I213" s="44"/>
      <c r="J213" s="44"/>
    </row>
    <row r="214" spans="1:10" s="3" customFormat="1" ht="14.4" hidden="1" x14ac:dyDescent="0.3">
      <c r="B214" s="42">
        <v>19</v>
      </c>
      <c r="C214" s="40" t="s">
        <v>75</v>
      </c>
      <c r="D214" s="26"/>
      <c r="E214" s="26"/>
      <c r="F214" s="49">
        <f t="shared" si="10"/>
        <v>0</v>
      </c>
      <c r="G214" s="84">
        <f t="shared" si="11"/>
        <v>3055203.84</v>
      </c>
      <c r="H214" s="81"/>
      <c r="I214" s="44"/>
      <c r="J214" s="44"/>
    </row>
    <row r="215" spans="1:10" s="3" customFormat="1" ht="14.4" hidden="1" x14ac:dyDescent="0.3">
      <c r="B215" s="42">
        <v>20</v>
      </c>
      <c r="C215" s="40" t="s">
        <v>76</v>
      </c>
      <c r="D215" s="26"/>
      <c r="E215" s="26"/>
      <c r="F215" s="49">
        <f t="shared" si="10"/>
        <v>0</v>
      </c>
      <c r="G215" s="84">
        <f t="shared" si="11"/>
        <v>3055203.84</v>
      </c>
      <c r="H215" s="81"/>
      <c r="I215" s="44"/>
      <c r="J215" s="44"/>
    </row>
    <row r="216" spans="1:10" s="3" customFormat="1" ht="14.4" hidden="1" x14ac:dyDescent="0.3">
      <c r="B216" s="42">
        <v>21</v>
      </c>
      <c r="C216" s="40" t="s">
        <v>77</v>
      </c>
      <c r="D216" s="26"/>
      <c r="E216" s="26"/>
      <c r="F216" s="49">
        <f t="shared" si="10"/>
        <v>0</v>
      </c>
      <c r="G216" s="84">
        <f t="shared" si="11"/>
        <v>3055203.84</v>
      </c>
      <c r="H216" s="81"/>
      <c r="I216" s="44"/>
      <c r="J216" s="44"/>
    </row>
    <row r="217" spans="1:10" s="3" customFormat="1" ht="14.4" hidden="1" x14ac:dyDescent="0.3">
      <c r="B217" s="42">
        <v>22</v>
      </c>
      <c r="C217" s="40" t="s">
        <v>78</v>
      </c>
      <c r="D217" s="26"/>
      <c r="E217" s="26"/>
      <c r="F217" s="49">
        <f t="shared" si="10"/>
        <v>0</v>
      </c>
      <c r="G217" s="84">
        <f t="shared" si="11"/>
        <v>3055203.84</v>
      </c>
      <c r="H217" s="81"/>
      <c r="I217" s="44"/>
      <c r="J217" s="44"/>
    </row>
    <row r="218" spans="1:10" s="3" customFormat="1" ht="14.4" hidden="1" x14ac:dyDescent="0.3">
      <c r="B218" s="42">
        <v>23</v>
      </c>
      <c r="C218" s="40" t="s">
        <v>79</v>
      </c>
      <c r="D218" s="26"/>
      <c r="E218" s="26"/>
      <c r="F218" s="49">
        <f t="shared" si="10"/>
        <v>0</v>
      </c>
      <c r="G218" s="84">
        <f t="shared" si="11"/>
        <v>3055203.84</v>
      </c>
      <c r="H218" s="81"/>
      <c r="I218" s="44"/>
      <c r="J218" s="44"/>
    </row>
    <row r="219" spans="1:10" s="3" customFormat="1" ht="14.4" hidden="1" x14ac:dyDescent="0.3">
      <c r="B219" s="42">
        <v>24</v>
      </c>
      <c r="C219" s="40" t="s">
        <v>80</v>
      </c>
      <c r="D219" s="26"/>
      <c r="E219" s="26"/>
      <c r="F219" s="49">
        <f t="shared" si="10"/>
        <v>0</v>
      </c>
      <c r="G219" s="84">
        <f t="shared" si="11"/>
        <v>3055203.84</v>
      </c>
      <c r="H219" s="81"/>
      <c r="I219" s="44"/>
      <c r="J219" s="44"/>
    </row>
    <row r="220" spans="1:10" s="3" customFormat="1" ht="14.4" hidden="1" x14ac:dyDescent="0.3">
      <c r="B220" s="42">
        <v>25</v>
      </c>
      <c r="C220" s="87" t="s">
        <v>81</v>
      </c>
      <c r="D220" s="26"/>
      <c r="E220" s="26"/>
      <c r="F220" s="49">
        <f t="shared" si="10"/>
        <v>0</v>
      </c>
      <c r="G220" s="84">
        <f t="shared" si="11"/>
        <v>3055203.84</v>
      </c>
      <c r="H220" s="81"/>
      <c r="I220" s="44"/>
      <c r="J220" s="44"/>
    </row>
    <row r="221" spans="1:10" s="3" customFormat="1" ht="14.4" hidden="1" x14ac:dyDescent="0.3">
      <c r="B221" s="42">
        <v>26</v>
      </c>
      <c r="C221" s="87" t="s">
        <v>82</v>
      </c>
      <c r="D221" s="33"/>
      <c r="E221" s="33"/>
      <c r="F221" s="66">
        <f t="shared" si="10"/>
        <v>0</v>
      </c>
      <c r="G221" s="88">
        <f t="shared" si="11"/>
        <v>3055203.84</v>
      </c>
      <c r="H221" s="81"/>
      <c r="I221" s="44"/>
      <c r="J221" s="44"/>
    </row>
    <row r="222" spans="1:10" ht="14.4" x14ac:dyDescent="0.3">
      <c r="A222" s="3"/>
      <c r="B222" s="5" t="s">
        <v>57</v>
      </c>
      <c r="C222" s="89" t="s">
        <v>57</v>
      </c>
      <c r="D222" s="90" t="s">
        <v>57</v>
      </c>
      <c r="E222" s="90" t="s">
        <v>57</v>
      </c>
      <c r="F222" s="90" t="s">
        <v>57</v>
      </c>
      <c r="G222" s="90" t="s">
        <v>57</v>
      </c>
      <c r="H222" s="6" t="s">
        <v>57</v>
      </c>
      <c r="I222" s="3"/>
    </row>
    <row r="223" spans="1:10" ht="14.4" x14ac:dyDescent="0.3">
      <c r="A223" s="3"/>
      <c r="B223" s="8" t="s">
        <v>39</v>
      </c>
      <c r="C223" s="91"/>
      <c r="D223" s="90" t="s">
        <v>57</v>
      </c>
      <c r="E223" s="90" t="s">
        <v>57</v>
      </c>
      <c r="F223" s="90" t="s">
        <v>57</v>
      </c>
      <c r="G223" s="90" t="s">
        <v>57</v>
      </c>
      <c r="H223" s="6" t="s">
        <v>57</v>
      </c>
      <c r="I223" s="3"/>
    </row>
    <row r="224" spans="1:10" ht="14.4" x14ac:dyDescent="0.3">
      <c r="A224" s="3"/>
      <c r="B224" s="9" t="s">
        <v>40</v>
      </c>
      <c r="C224" s="5"/>
      <c r="D224" s="6"/>
      <c r="E224" s="6"/>
      <c r="F224" s="92"/>
      <c r="G224" s="92"/>
      <c r="H224" s="93"/>
      <c r="I224" s="3"/>
    </row>
    <row r="225" spans="1:11" ht="14.4" x14ac:dyDescent="0.3">
      <c r="A225" s="3"/>
      <c r="B225" s="9" t="s">
        <v>41</v>
      </c>
      <c r="C225" s="5"/>
      <c r="D225" s="6"/>
      <c r="E225" s="6"/>
      <c r="F225" s="92"/>
      <c r="G225" s="90" t="s">
        <v>57</v>
      </c>
      <c r="H225" s="6" t="s">
        <v>57</v>
      </c>
      <c r="I225" s="3"/>
    </row>
    <row r="226" spans="1:11" ht="14.4" x14ac:dyDescent="0.3">
      <c r="A226" s="3"/>
      <c r="B226" s="9" t="s">
        <v>42</v>
      </c>
      <c r="C226" s="5"/>
      <c r="D226" s="6"/>
      <c r="E226" s="6"/>
      <c r="F226" s="90" t="s">
        <v>57</v>
      </c>
      <c r="G226" s="90" t="s">
        <v>57</v>
      </c>
      <c r="H226" s="6" t="s">
        <v>57</v>
      </c>
      <c r="I226" s="3"/>
    </row>
    <row r="227" spans="1:11" ht="14.4" x14ac:dyDescent="0.3">
      <c r="A227" s="3"/>
      <c r="B227" s="10"/>
      <c r="C227" s="94"/>
      <c r="D227" s="96"/>
      <c r="E227" s="96"/>
      <c r="F227" s="96"/>
      <c r="G227" s="96"/>
      <c r="H227" s="44"/>
      <c r="I227" s="3"/>
    </row>
    <row r="228" spans="1:11" ht="14.4" x14ac:dyDescent="0.3">
      <c r="A228" s="3"/>
      <c r="B228" s="10"/>
      <c r="C228" s="94"/>
      <c r="D228" s="96"/>
      <c r="E228" s="96"/>
      <c r="F228" s="96"/>
      <c r="G228" s="96"/>
      <c r="H228" s="44"/>
      <c r="I228" s="3"/>
    </row>
    <row r="229" spans="1:11" ht="18" x14ac:dyDescent="0.35">
      <c r="A229" s="3"/>
      <c r="C229" s="94"/>
      <c r="D229" s="183" t="s">
        <v>45</v>
      </c>
      <c r="E229" s="183"/>
      <c r="F229" s="183"/>
      <c r="G229" s="183"/>
      <c r="H229" s="183"/>
      <c r="I229" s="3"/>
    </row>
    <row r="230" spans="1:11" ht="15.6" x14ac:dyDescent="0.3">
      <c r="A230" s="37"/>
      <c r="B230" s="27" t="s">
        <v>57</v>
      </c>
      <c r="C230" s="95" t="s">
        <v>57</v>
      </c>
      <c r="D230" s="184" t="s">
        <v>60</v>
      </c>
      <c r="E230" s="184"/>
      <c r="F230" s="184"/>
      <c r="G230" s="184"/>
      <c r="H230" s="184"/>
      <c r="I230" s="37"/>
    </row>
    <row r="231" spans="1:11" ht="15.9" customHeight="1" x14ac:dyDescent="0.3">
      <c r="A231" s="3"/>
      <c r="B231" s="128" t="s">
        <v>84</v>
      </c>
      <c r="C231" s="128"/>
      <c r="D231" s="128"/>
      <c r="E231" s="128"/>
      <c r="F231" s="128"/>
      <c r="G231" s="128"/>
      <c r="H231" s="128"/>
      <c r="I231" s="3"/>
    </row>
    <row r="232" spans="1:11" ht="14.4" x14ac:dyDescent="0.3">
      <c r="A232" s="3"/>
      <c r="B232" s="15"/>
      <c r="C232" s="16"/>
      <c r="D232" s="118" t="s">
        <v>6</v>
      </c>
      <c r="E232" s="118"/>
      <c r="F232" s="118"/>
      <c r="G232" s="118"/>
      <c r="H232" s="181" t="s">
        <v>57</v>
      </c>
      <c r="I232" s="3"/>
    </row>
    <row r="233" spans="1:11" ht="14.4" x14ac:dyDescent="0.3">
      <c r="A233" s="3"/>
      <c r="B233" s="13"/>
      <c r="C233" s="14"/>
      <c r="D233" s="125" t="s">
        <v>9</v>
      </c>
      <c r="E233" s="125"/>
      <c r="F233" s="125"/>
      <c r="G233" s="125"/>
      <c r="H233" s="181"/>
      <c r="I233" s="3"/>
    </row>
    <row r="234" spans="1:11" ht="14.4" x14ac:dyDescent="0.3">
      <c r="A234" s="3"/>
      <c r="B234" s="132" t="s">
        <v>10</v>
      </c>
      <c r="C234" s="134" t="s">
        <v>11</v>
      </c>
      <c r="D234" s="62" t="s">
        <v>12</v>
      </c>
      <c r="E234" s="62" t="s">
        <v>13</v>
      </c>
      <c r="F234" s="62" t="s">
        <v>14</v>
      </c>
      <c r="G234" s="76" t="s">
        <v>15</v>
      </c>
      <c r="H234" s="176" t="s">
        <v>57</v>
      </c>
      <c r="I234" s="3"/>
    </row>
    <row r="235" spans="1:11" ht="14.4" x14ac:dyDescent="0.3">
      <c r="A235" s="3"/>
      <c r="B235" s="132"/>
      <c r="C235" s="134"/>
      <c r="D235" s="145" t="s">
        <v>20</v>
      </c>
      <c r="E235" s="145"/>
      <c r="F235" s="145"/>
      <c r="G235" s="145"/>
      <c r="H235" s="176"/>
      <c r="I235" s="3"/>
    </row>
    <row r="236" spans="1:11" ht="14.4" x14ac:dyDescent="0.3">
      <c r="A236" s="3"/>
      <c r="B236" s="42">
        <v>4</v>
      </c>
      <c r="C236" s="77" t="s">
        <v>21</v>
      </c>
      <c r="D236" s="26">
        <v>0</v>
      </c>
      <c r="E236" s="26">
        <v>0</v>
      </c>
      <c r="F236" s="26">
        <v>0</v>
      </c>
      <c r="G236" s="26">
        <v>0</v>
      </c>
      <c r="H236" s="81" t="s">
        <v>57</v>
      </c>
      <c r="I236" s="3"/>
    </row>
    <row r="237" spans="1:11" ht="14.4" x14ac:dyDescent="0.3">
      <c r="A237" s="3"/>
      <c r="B237" s="82">
        <v>5</v>
      </c>
      <c r="C237" s="83" t="s">
        <v>22</v>
      </c>
      <c r="D237" s="26">
        <v>0</v>
      </c>
      <c r="E237" s="26">
        <v>0</v>
      </c>
      <c r="F237" s="26">
        <v>0</v>
      </c>
      <c r="G237" s="26">
        <v>0</v>
      </c>
      <c r="H237" s="81" t="s">
        <v>57</v>
      </c>
      <c r="I237" s="3"/>
    </row>
    <row r="238" spans="1:11" ht="14.4" x14ac:dyDescent="0.3">
      <c r="A238" s="3"/>
      <c r="B238" s="82">
        <v>6</v>
      </c>
      <c r="C238" s="83" t="s">
        <v>23</v>
      </c>
      <c r="D238" s="26">
        <v>0</v>
      </c>
      <c r="E238" s="26">
        <v>0</v>
      </c>
      <c r="F238" s="26">
        <v>0</v>
      </c>
      <c r="G238" s="26">
        <v>0</v>
      </c>
      <c r="H238" s="81" t="s">
        <v>57</v>
      </c>
      <c r="I238" s="3"/>
    </row>
    <row r="239" spans="1:11" ht="14.4" x14ac:dyDescent="0.3">
      <c r="A239" s="3"/>
      <c r="B239" s="82">
        <v>7</v>
      </c>
      <c r="C239" s="83" t="s">
        <v>24</v>
      </c>
      <c r="D239" s="26">
        <v>0</v>
      </c>
      <c r="E239" s="26">
        <v>0</v>
      </c>
      <c r="F239" s="26">
        <v>0</v>
      </c>
      <c r="G239" s="26">
        <v>0</v>
      </c>
      <c r="H239" s="81" t="s">
        <v>57</v>
      </c>
      <c r="I239" s="3"/>
    </row>
    <row r="240" spans="1:11" ht="14.4" x14ac:dyDescent="0.3">
      <c r="A240" s="3"/>
      <c r="B240" s="42">
        <v>8</v>
      </c>
      <c r="C240" s="40" t="s">
        <v>25</v>
      </c>
      <c r="D240" s="26">
        <v>34642.5</v>
      </c>
      <c r="E240" s="26">
        <v>0</v>
      </c>
      <c r="F240" s="49">
        <f t="shared" ref="F240:F258" si="12">+E240+D240</f>
        <v>34642.5</v>
      </c>
      <c r="G240" s="84">
        <f t="shared" ref="G240:G258" si="13">+G239+F240</f>
        <v>34642.5</v>
      </c>
      <c r="H240" s="81"/>
      <c r="I240" s="10"/>
      <c r="J240" s="3"/>
      <c r="K240" s="3"/>
    </row>
    <row r="241" spans="2:10" s="3" customFormat="1" ht="14.4" x14ac:dyDescent="0.3">
      <c r="B241" s="42">
        <v>9</v>
      </c>
      <c r="C241" s="40" t="s">
        <v>26</v>
      </c>
      <c r="D241" s="26">
        <v>0</v>
      </c>
      <c r="E241" s="26">
        <v>0</v>
      </c>
      <c r="F241" s="49">
        <f t="shared" si="12"/>
        <v>0</v>
      </c>
      <c r="G241" s="84">
        <f t="shared" si="13"/>
        <v>34642.5</v>
      </c>
      <c r="H241" s="81"/>
      <c r="I241" s="44"/>
      <c r="J241" s="44"/>
    </row>
    <row r="242" spans="2:10" s="3" customFormat="1" ht="14.4" x14ac:dyDescent="0.3">
      <c r="B242" s="42">
        <v>10</v>
      </c>
      <c r="C242" s="40" t="s">
        <v>67</v>
      </c>
      <c r="D242" s="26">
        <v>600909</v>
      </c>
      <c r="E242" s="26">
        <v>0</v>
      </c>
      <c r="F242" s="49">
        <f t="shared" si="12"/>
        <v>600909</v>
      </c>
      <c r="G242" s="84">
        <f t="shared" si="13"/>
        <v>635551.5</v>
      </c>
      <c r="H242" s="81"/>
      <c r="I242" s="44"/>
      <c r="J242" s="44"/>
    </row>
    <row r="243" spans="2:10" s="3" customFormat="1" ht="14.4" x14ac:dyDescent="0.3">
      <c r="B243" s="42">
        <v>11</v>
      </c>
      <c r="C243" s="40" t="s">
        <v>68</v>
      </c>
      <c r="D243" s="26">
        <v>0</v>
      </c>
      <c r="E243" s="26">
        <v>0</v>
      </c>
      <c r="F243" s="49">
        <f t="shared" si="12"/>
        <v>0</v>
      </c>
      <c r="G243" s="84">
        <f t="shared" si="13"/>
        <v>635551.5</v>
      </c>
      <c r="H243" s="81"/>
      <c r="I243" s="44"/>
      <c r="J243" s="44"/>
    </row>
    <row r="244" spans="2:10" s="3" customFormat="1" ht="14.4" x14ac:dyDescent="0.3">
      <c r="B244" s="42">
        <v>12</v>
      </c>
      <c r="C244" s="40" t="s">
        <v>83</v>
      </c>
      <c r="D244" s="26">
        <v>32251</v>
      </c>
      <c r="E244" s="26">
        <v>0</v>
      </c>
      <c r="F244" s="49">
        <f t="shared" si="12"/>
        <v>32251</v>
      </c>
      <c r="G244" s="84">
        <f t="shared" si="13"/>
        <v>667802.5</v>
      </c>
      <c r="H244" s="81"/>
      <c r="I244" s="44"/>
      <c r="J244" s="44"/>
    </row>
    <row r="245" spans="2:10" s="3" customFormat="1" ht="14.4" x14ac:dyDescent="0.3">
      <c r="B245" s="42">
        <v>13</v>
      </c>
      <c r="C245" s="40" t="s">
        <v>69</v>
      </c>
      <c r="D245" s="26">
        <v>66005.5</v>
      </c>
      <c r="E245" s="26">
        <v>0</v>
      </c>
      <c r="F245" s="49">
        <f t="shared" si="12"/>
        <v>66005.5</v>
      </c>
      <c r="G245" s="84">
        <f t="shared" si="13"/>
        <v>733808</v>
      </c>
      <c r="H245" s="81"/>
      <c r="I245" s="44"/>
      <c r="J245" s="44"/>
    </row>
    <row r="246" spans="2:10" s="3" customFormat="1" ht="15" customHeight="1" x14ac:dyDescent="0.3">
      <c r="B246" s="42">
        <v>14</v>
      </c>
      <c r="C246" s="86" t="s">
        <v>70</v>
      </c>
      <c r="D246" s="26">
        <v>17618</v>
      </c>
      <c r="E246" s="26">
        <v>0</v>
      </c>
      <c r="F246" s="49">
        <f t="shared" si="12"/>
        <v>17618</v>
      </c>
      <c r="G246" s="84">
        <f t="shared" si="13"/>
        <v>751426</v>
      </c>
      <c r="H246" s="81"/>
      <c r="I246" s="44"/>
      <c r="J246" s="44"/>
    </row>
    <row r="247" spans="2:10" s="3" customFormat="1" ht="14.4" hidden="1" x14ac:dyDescent="0.3">
      <c r="B247" s="42">
        <v>15</v>
      </c>
      <c r="C247" s="40" t="s">
        <v>71</v>
      </c>
      <c r="D247" s="26"/>
      <c r="E247" s="26"/>
      <c r="F247" s="49">
        <f t="shared" si="12"/>
        <v>0</v>
      </c>
      <c r="G247" s="84">
        <f t="shared" si="13"/>
        <v>751426</v>
      </c>
      <c r="H247" s="81"/>
      <c r="I247" s="44"/>
      <c r="J247" s="44"/>
    </row>
    <row r="248" spans="2:10" s="3" customFormat="1" ht="14.4" hidden="1" x14ac:dyDescent="0.3">
      <c r="B248" s="42">
        <v>16</v>
      </c>
      <c r="C248" s="40" t="s">
        <v>72</v>
      </c>
      <c r="D248" s="26"/>
      <c r="E248" s="26"/>
      <c r="F248" s="49">
        <f t="shared" si="12"/>
        <v>0</v>
      </c>
      <c r="G248" s="84">
        <f t="shared" si="13"/>
        <v>751426</v>
      </c>
      <c r="H248" s="81"/>
      <c r="I248" s="44"/>
      <c r="J248" s="44"/>
    </row>
    <row r="249" spans="2:10" s="3" customFormat="1" ht="14.4" hidden="1" x14ac:dyDescent="0.3">
      <c r="B249" s="42">
        <v>17</v>
      </c>
      <c r="C249" s="40" t="s">
        <v>73</v>
      </c>
      <c r="D249" s="26"/>
      <c r="E249" s="26"/>
      <c r="F249" s="49">
        <f t="shared" si="12"/>
        <v>0</v>
      </c>
      <c r="G249" s="84">
        <f t="shared" si="13"/>
        <v>751426</v>
      </c>
      <c r="H249" s="81"/>
      <c r="I249" s="44"/>
      <c r="J249" s="44"/>
    </row>
    <row r="250" spans="2:10" s="3" customFormat="1" ht="14.4" hidden="1" x14ac:dyDescent="0.3">
      <c r="B250" s="42">
        <v>18</v>
      </c>
      <c r="C250" s="40" t="s">
        <v>74</v>
      </c>
      <c r="D250" s="26"/>
      <c r="E250" s="26"/>
      <c r="F250" s="49">
        <f t="shared" si="12"/>
        <v>0</v>
      </c>
      <c r="G250" s="84">
        <f t="shared" si="13"/>
        <v>751426</v>
      </c>
      <c r="H250" s="81"/>
      <c r="I250" s="44"/>
      <c r="J250" s="44"/>
    </row>
    <row r="251" spans="2:10" s="3" customFormat="1" ht="14.4" hidden="1" x14ac:dyDescent="0.3">
      <c r="B251" s="42">
        <v>19</v>
      </c>
      <c r="C251" s="40" t="s">
        <v>75</v>
      </c>
      <c r="D251" s="26"/>
      <c r="E251" s="26"/>
      <c r="F251" s="49">
        <f t="shared" si="12"/>
        <v>0</v>
      </c>
      <c r="G251" s="84">
        <f t="shared" si="13"/>
        <v>751426</v>
      </c>
      <c r="H251" s="81"/>
      <c r="I251" s="44"/>
      <c r="J251" s="44"/>
    </row>
    <row r="252" spans="2:10" s="3" customFormat="1" ht="14.4" hidden="1" x14ac:dyDescent="0.3">
      <c r="B252" s="42">
        <v>20</v>
      </c>
      <c r="C252" s="40" t="s">
        <v>76</v>
      </c>
      <c r="D252" s="26"/>
      <c r="E252" s="26"/>
      <c r="F252" s="49">
        <f t="shared" si="12"/>
        <v>0</v>
      </c>
      <c r="G252" s="84">
        <f t="shared" si="13"/>
        <v>751426</v>
      </c>
      <c r="H252" s="81"/>
      <c r="I252" s="44"/>
      <c r="J252" s="44"/>
    </row>
    <row r="253" spans="2:10" s="3" customFormat="1" ht="14.4" hidden="1" x14ac:dyDescent="0.3">
      <c r="B253" s="42">
        <v>21</v>
      </c>
      <c r="C253" s="40" t="s">
        <v>77</v>
      </c>
      <c r="D253" s="26"/>
      <c r="E253" s="26"/>
      <c r="F253" s="49">
        <f t="shared" si="12"/>
        <v>0</v>
      </c>
      <c r="G253" s="84">
        <f t="shared" si="13"/>
        <v>751426</v>
      </c>
      <c r="H253" s="81"/>
      <c r="I253" s="44"/>
      <c r="J253" s="44"/>
    </row>
    <row r="254" spans="2:10" s="3" customFormat="1" ht="14.4" hidden="1" x14ac:dyDescent="0.3">
      <c r="B254" s="42">
        <v>22</v>
      </c>
      <c r="C254" s="40" t="s">
        <v>78</v>
      </c>
      <c r="D254" s="26"/>
      <c r="E254" s="26"/>
      <c r="F254" s="49">
        <f t="shared" si="12"/>
        <v>0</v>
      </c>
      <c r="G254" s="84">
        <f t="shared" si="13"/>
        <v>751426</v>
      </c>
      <c r="H254" s="81"/>
      <c r="I254" s="44"/>
      <c r="J254" s="44"/>
    </row>
    <row r="255" spans="2:10" s="3" customFormat="1" ht="14.4" hidden="1" x14ac:dyDescent="0.3">
      <c r="B255" s="42">
        <v>23</v>
      </c>
      <c r="C255" s="40" t="s">
        <v>79</v>
      </c>
      <c r="D255" s="26"/>
      <c r="E255" s="26"/>
      <c r="F255" s="49">
        <f t="shared" si="12"/>
        <v>0</v>
      </c>
      <c r="G255" s="84">
        <f t="shared" si="13"/>
        <v>751426</v>
      </c>
      <c r="H255" s="81"/>
      <c r="I255" s="44"/>
      <c r="J255" s="44"/>
    </row>
    <row r="256" spans="2:10" s="3" customFormat="1" ht="14.4" hidden="1" x14ac:dyDescent="0.3">
      <c r="B256" s="42">
        <v>24</v>
      </c>
      <c r="C256" s="40" t="s">
        <v>80</v>
      </c>
      <c r="D256" s="26"/>
      <c r="E256" s="26"/>
      <c r="F256" s="49">
        <f t="shared" si="12"/>
        <v>0</v>
      </c>
      <c r="G256" s="84">
        <f t="shared" si="13"/>
        <v>751426</v>
      </c>
      <c r="H256" s="81"/>
      <c r="I256" s="44"/>
      <c r="J256" s="44"/>
    </row>
    <row r="257" spans="1:10" s="3" customFormat="1" ht="14.4" hidden="1" x14ac:dyDescent="0.3">
      <c r="B257" s="42">
        <v>25</v>
      </c>
      <c r="C257" s="87" t="s">
        <v>81</v>
      </c>
      <c r="D257" s="26"/>
      <c r="E257" s="26"/>
      <c r="F257" s="49">
        <f t="shared" si="12"/>
        <v>0</v>
      </c>
      <c r="G257" s="84">
        <f t="shared" si="13"/>
        <v>751426</v>
      </c>
      <c r="H257" s="81"/>
      <c r="I257" s="44"/>
      <c r="J257" s="44"/>
    </row>
    <row r="258" spans="1:10" s="3" customFormat="1" ht="14.4" hidden="1" x14ac:dyDescent="0.3">
      <c r="B258" s="42">
        <v>26</v>
      </c>
      <c r="C258" s="87" t="s">
        <v>82</v>
      </c>
      <c r="D258" s="33"/>
      <c r="E258" s="33"/>
      <c r="F258" s="66">
        <f t="shared" si="12"/>
        <v>0</v>
      </c>
      <c r="G258" s="88">
        <f t="shared" si="13"/>
        <v>751426</v>
      </c>
      <c r="H258" s="81"/>
      <c r="I258" s="44"/>
      <c r="J258" s="44"/>
    </row>
    <row r="259" spans="1:10" ht="14.4" x14ac:dyDescent="0.3">
      <c r="A259" s="3"/>
      <c r="B259" s="5" t="s">
        <v>57</v>
      </c>
      <c r="C259" s="89" t="s">
        <v>57</v>
      </c>
      <c r="D259" s="90" t="s">
        <v>57</v>
      </c>
      <c r="E259" s="90" t="s">
        <v>57</v>
      </c>
      <c r="F259" s="90" t="s">
        <v>57</v>
      </c>
      <c r="G259" s="90" t="s">
        <v>57</v>
      </c>
      <c r="H259" s="6" t="s">
        <v>57</v>
      </c>
      <c r="I259" s="3"/>
    </row>
    <row r="260" spans="1:10" ht="14.4" x14ac:dyDescent="0.3">
      <c r="A260" s="3"/>
      <c r="B260" s="8" t="s">
        <v>39</v>
      </c>
      <c r="C260" s="91"/>
      <c r="D260" s="90" t="s">
        <v>57</v>
      </c>
      <c r="E260" s="90" t="s">
        <v>57</v>
      </c>
      <c r="F260" s="90" t="s">
        <v>57</v>
      </c>
      <c r="G260" s="90" t="s">
        <v>57</v>
      </c>
      <c r="H260" s="6" t="s">
        <v>57</v>
      </c>
      <c r="I260" s="3"/>
    </row>
    <row r="261" spans="1:10" ht="14.4" x14ac:dyDescent="0.3">
      <c r="A261" s="3"/>
      <c r="B261" s="9" t="s">
        <v>40</v>
      </c>
      <c r="C261" s="5"/>
      <c r="D261" s="6"/>
      <c r="E261" s="6"/>
      <c r="F261" s="92"/>
      <c r="G261" s="92"/>
      <c r="H261" s="93"/>
      <c r="I261" s="3"/>
    </row>
    <row r="262" spans="1:10" ht="14.4" x14ac:dyDescent="0.3">
      <c r="A262" s="3"/>
      <c r="B262" s="9" t="s">
        <v>41</v>
      </c>
      <c r="C262" s="5"/>
      <c r="D262" s="6"/>
      <c r="E262" s="6"/>
      <c r="F262" s="92"/>
      <c r="G262" s="90" t="s">
        <v>57</v>
      </c>
      <c r="H262" s="6" t="s">
        <v>57</v>
      </c>
      <c r="I262" s="3"/>
    </row>
    <row r="263" spans="1:10" ht="14.4" x14ac:dyDescent="0.3">
      <c r="A263" s="3"/>
      <c r="B263" s="9" t="s">
        <v>42</v>
      </c>
      <c r="C263" s="5"/>
      <c r="D263" s="6"/>
      <c r="E263" s="6"/>
      <c r="F263" s="90" t="s">
        <v>57</v>
      </c>
      <c r="G263" s="90" t="s">
        <v>57</v>
      </c>
      <c r="H263" s="6" t="s">
        <v>57</v>
      </c>
      <c r="I263" s="3"/>
    </row>
    <row r="264" spans="1:10" ht="14.4" x14ac:dyDescent="0.3">
      <c r="A264" s="3"/>
      <c r="B264" s="3"/>
      <c r="C264" s="73"/>
      <c r="D264" s="74"/>
      <c r="E264" s="74"/>
      <c r="F264" s="74"/>
      <c r="G264" s="74"/>
      <c r="H264" s="41"/>
      <c r="I264" s="3"/>
    </row>
    <row r="265" spans="1:10" ht="14.4" x14ac:dyDescent="0.3">
      <c r="A265" s="3"/>
      <c r="B265" s="3"/>
      <c r="C265" s="73"/>
      <c r="D265" s="74"/>
      <c r="E265" s="74"/>
      <c r="F265" s="74"/>
      <c r="G265" s="74"/>
      <c r="H265" s="41"/>
      <c r="I265" s="3"/>
    </row>
    <row r="266" spans="1:10" ht="18" x14ac:dyDescent="0.35">
      <c r="A266" s="3"/>
      <c r="C266" s="94"/>
      <c r="D266" s="178" t="s">
        <v>46</v>
      </c>
      <c r="E266" s="178"/>
      <c r="F266" s="178"/>
      <c r="G266" s="178"/>
      <c r="H266" s="178"/>
      <c r="I266" s="3"/>
    </row>
    <row r="267" spans="1:10" ht="15.6" x14ac:dyDescent="0.3">
      <c r="A267" s="37"/>
      <c r="B267" s="27" t="s">
        <v>57</v>
      </c>
      <c r="C267" s="95" t="s">
        <v>57</v>
      </c>
      <c r="D267" s="179" t="s">
        <v>60</v>
      </c>
      <c r="E267" s="179"/>
      <c r="F267" s="179"/>
      <c r="G267" s="179"/>
      <c r="H267" s="179"/>
      <c r="I267" s="37"/>
    </row>
    <row r="268" spans="1:10" ht="15.9" customHeight="1" x14ac:dyDescent="0.3">
      <c r="A268" s="3"/>
      <c r="B268" s="128" t="s">
        <v>84</v>
      </c>
      <c r="C268" s="128"/>
      <c r="D268" s="128"/>
      <c r="E268" s="128"/>
      <c r="F268" s="128"/>
      <c r="G268" s="128"/>
      <c r="H268" s="128"/>
      <c r="I268" s="3"/>
    </row>
    <row r="269" spans="1:10" ht="14.4" x14ac:dyDescent="0.3">
      <c r="A269" s="3"/>
      <c r="B269" s="15"/>
      <c r="C269" s="16"/>
      <c r="D269" s="118" t="s">
        <v>6</v>
      </c>
      <c r="E269" s="118"/>
      <c r="F269" s="118"/>
      <c r="G269" s="118"/>
      <c r="H269" s="181" t="s">
        <v>57</v>
      </c>
      <c r="I269" s="3"/>
    </row>
    <row r="270" spans="1:10" ht="14.4" x14ac:dyDescent="0.3">
      <c r="A270" s="3"/>
      <c r="B270" s="13"/>
      <c r="C270" s="14"/>
      <c r="D270" s="125" t="s">
        <v>9</v>
      </c>
      <c r="E270" s="125"/>
      <c r="F270" s="125"/>
      <c r="G270" s="125"/>
      <c r="H270" s="181"/>
      <c r="I270" s="3"/>
    </row>
    <row r="271" spans="1:10" ht="14.4" x14ac:dyDescent="0.3">
      <c r="A271" s="3"/>
      <c r="B271" s="132" t="s">
        <v>10</v>
      </c>
      <c r="C271" s="134" t="s">
        <v>11</v>
      </c>
      <c r="D271" s="62" t="s">
        <v>12</v>
      </c>
      <c r="E271" s="62" t="s">
        <v>13</v>
      </c>
      <c r="F271" s="62" t="s">
        <v>14</v>
      </c>
      <c r="G271" s="76" t="s">
        <v>15</v>
      </c>
      <c r="H271" s="176" t="s">
        <v>57</v>
      </c>
      <c r="I271" s="3"/>
    </row>
    <row r="272" spans="1:10" ht="14.4" x14ac:dyDescent="0.3">
      <c r="A272" s="3"/>
      <c r="B272" s="132"/>
      <c r="C272" s="134"/>
      <c r="D272" s="145" t="s">
        <v>20</v>
      </c>
      <c r="E272" s="145"/>
      <c r="F272" s="145"/>
      <c r="G272" s="145"/>
      <c r="H272" s="176"/>
      <c r="I272" s="3"/>
    </row>
    <row r="273" spans="1:11" ht="14.4" x14ac:dyDescent="0.3">
      <c r="A273" s="3"/>
      <c r="B273" s="42">
        <v>4</v>
      </c>
      <c r="C273" s="77" t="s">
        <v>21</v>
      </c>
      <c r="D273" s="26">
        <v>0</v>
      </c>
      <c r="E273" s="26">
        <v>0</v>
      </c>
      <c r="F273" s="26">
        <v>0</v>
      </c>
      <c r="G273" s="26">
        <v>0</v>
      </c>
      <c r="H273" s="81" t="s">
        <v>57</v>
      </c>
      <c r="I273" s="3"/>
    </row>
    <row r="274" spans="1:11" ht="14.4" x14ac:dyDescent="0.3">
      <c r="A274" s="3"/>
      <c r="B274" s="82">
        <v>5</v>
      </c>
      <c r="C274" s="83" t="s">
        <v>22</v>
      </c>
      <c r="D274" s="26">
        <v>0</v>
      </c>
      <c r="E274" s="26">
        <v>0</v>
      </c>
      <c r="F274" s="26">
        <v>0</v>
      </c>
      <c r="G274" s="26">
        <v>0</v>
      </c>
      <c r="H274" s="81" t="s">
        <v>57</v>
      </c>
      <c r="I274" s="3"/>
    </row>
    <row r="275" spans="1:11" ht="14.4" x14ac:dyDescent="0.3">
      <c r="A275" s="3"/>
      <c r="B275" s="82">
        <v>6</v>
      </c>
      <c r="C275" s="83" t="s">
        <v>23</v>
      </c>
      <c r="D275" s="26">
        <v>0</v>
      </c>
      <c r="E275" s="26">
        <v>0</v>
      </c>
      <c r="F275" s="26">
        <v>0</v>
      </c>
      <c r="G275" s="26">
        <v>0</v>
      </c>
      <c r="H275" s="81" t="s">
        <v>57</v>
      </c>
      <c r="I275" s="3"/>
    </row>
    <row r="276" spans="1:11" ht="14.4" x14ac:dyDescent="0.3">
      <c r="A276" s="3"/>
      <c r="B276" s="82">
        <v>7</v>
      </c>
      <c r="C276" s="83" t="s">
        <v>24</v>
      </c>
      <c r="D276" s="26">
        <v>0</v>
      </c>
      <c r="E276" s="26">
        <v>0</v>
      </c>
      <c r="F276" s="26">
        <v>0</v>
      </c>
      <c r="G276" s="26">
        <v>0</v>
      </c>
      <c r="H276" s="81" t="s">
        <v>57</v>
      </c>
      <c r="I276" s="3"/>
    </row>
    <row r="277" spans="1:11" ht="14.4" x14ac:dyDescent="0.3">
      <c r="A277" s="3"/>
      <c r="B277" s="42">
        <v>8</v>
      </c>
      <c r="C277" s="40" t="s">
        <v>25</v>
      </c>
      <c r="D277" s="26">
        <v>0</v>
      </c>
      <c r="E277" s="26">
        <v>0</v>
      </c>
      <c r="F277" s="49">
        <f t="shared" ref="F277:F295" si="14">+E277+D277</f>
        <v>0</v>
      </c>
      <c r="G277" s="84">
        <f t="shared" ref="G277:G295" si="15">+G276+F277</f>
        <v>0</v>
      </c>
      <c r="H277" s="81"/>
      <c r="I277" s="10"/>
      <c r="J277" s="3"/>
      <c r="K277" s="3"/>
    </row>
    <row r="278" spans="1:11" s="3" customFormat="1" ht="14.4" x14ac:dyDescent="0.3">
      <c r="B278" s="42">
        <v>9</v>
      </c>
      <c r="C278" s="40" t="s">
        <v>26</v>
      </c>
      <c r="D278" s="26">
        <v>0</v>
      </c>
      <c r="E278" s="26">
        <v>0</v>
      </c>
      <c r="F278" s="49">
        <f t="shared" si="14"/>
        <v>0</v>
      </c>
      <c r="G278" s="84">
        <f t="shared" si="15"/>
        <v>0</v>
      </c>
      <c r="H278" s="81"/>
      <c r="I278" s="44"/>
      <c r="J278" s="44"/>
    </row>
    <row r="279" spans="1:11" s="3" customFormat="1" ht="14.4" x14ac:dyDescent="0.3">
      <c r="B279" s="42">
        <v>10</v>
      </c>
      <c r="C279" s="40" t="s">
        <v>67</v>
      </c>
      <c r="D279" s="26">
        <v>0</v>
      </c>
      <c r="E279" s="26">
        <v>0</v>
      </c>
      <c r="F279" s="49">
        <f t="shared" si="14"/>
        <v>0</v>
      </c>
      <c r="G279" s="84">
        <f t="shared" si="15"/>
        <v>0</v>
      </c>
      <c r="H279" s="81"/>
      <c r="I279" s="44"/>
      <c r="J279" s="44"/>
    </row>
    <row r="280" spans="1:11" s="3" customFormat="1" ht="14.4" x14ac:dyDescent="0.3">
      <c r="B280" s="42">
        <v>11</v>
      </c>
      <c r="C280" s="40" t="s">
        <v>68</v>
      </c>
      <c r="D280" s="26">
        <v>0</v>
      </c>
      <c r="E280" s="26">
        <v>0</v>
      </c>
      <c r="F280" s="49">
        <f t="shared" si="14"/>
        <v>0</v>
      </c>
      <c r="G280" s="84">
        <f>+G279+F280</f>
        <v>0</v>
      </c>
      <c r="H280" s="81"/>
      <c r="I280" s="44"/>
      <c r="J280" s="44"/>
    </row>
    <row r="281" spans="1:11" s="3" customFormat="1" ht="14.4" x14ac:dyDescent="0.3">
      <c r="B281" s="42">
        <v>12</v>
      </c>
      <c r="C281" s="40" t="s">
        <v>83</v>
      </c>
      <c r="D281" s="26">
        <v>0</v>
      </c>
      <c r="E281" s="26">
        <v>0</v>
      </c>
      <c r="F281" s="49">
        <f t="shared" si="14"/>
        <v>0</v>
      </c>
      <c r="G281" s="84">
        <f t="shared" si="15"/>
        <v>0</v>
      </c>
      <c r="H281" s="81"/>
      <c r="I281" s="44"/>
      <c r="J281" s="44"/>
    </row>
    <row r="282" spans="1:11" s="3" customFormat="1" ht="14.4" x14ac:dyDescent="0.3">
      <c r="B282" s="42">
        <v>13</v>
      </c>
      <c r="C282" s="40" t="s">
        <v>69</v>
      </c>
      <c r="D282" s="26">
        <v>0</v>
      </c>
      <c r="E282" s="26">
        <v>0</v>
      </c>
      <c r="F282" s="49">
        <f t="shared" si="14"/>
        <v>0</v>
      </c>
      <c r="G282" s="84">
        <f t="shared" si="15"/>
        <v>0</v>
      </c>
      <c r="H282" s="81"/>
      <c r="I282" s="44"/>
      <c r="J282" s="44"/>
    </row>
    <row r="283" spans="1:11" s="3" customFormat="1" ht="15.6" customHeight="1" x14ac:dyDescent="0.3">
      <c r="B283" s="42">
        <v>14</v>
      </c>
      <c r="C283" s="86" t="s">
        <v>70</v>
      </c>
      <c r="D283" s="26">
        <v>0</v>
      </c>
      <c r="E283" s="26">
        <v>0</v>
      </c>
      <c r="F283" s="49">
        <f t="shared" si="14"/>
        <v>0</v>
      </c>
      <c r="G283" s="84">
        <f t="shared" si="15"/>
        <v>0</v>
      </c>
      <c r="H283" s="81"/>
      <c r="I283" s="44"/>
      <c r="J283" s="44"/>
    </row>
    <row r="284" spans="1:11" s="3" customFormat="1" ht="14.4" hidden="1" x14ac:dyDescent="0.3">
      <c r="B284" s="42">
        <v>15</v>
      </c>
      <c r="C284" s="40" t="s">
        <v>71</v>
      </c>
      <c r="D284" s="26"/>
      <c r="E284" s="26"/>
      <c r="F284" s="49">
        <f t="shared" si="14"/>
        <v>0</v>
      </c>
      <c r="G284" s="84">
        <f t="shared" si="15"/>
        <v>0</v>
      </c>
      <c r="H284" s="81"/>
      <c r="I284" s="44"/>
      <c r="J284" s="44"/>
    </row>
    <row r="285" spans="1:11" s="3" customFormat="1" ht="14.4" hidden="1" x14ac:dyDescent="0.3">
      <c r="B285" s="42">
        <v>16</v>
      </c>
      <c r="C285" s="40" t="s">
        <v>72</v>
      </c>
      <c r="D285" s="26"/>
      <c r="E285" s="26"/>
      <c r="F285" s="49">
        <f t="shared" si="14"/>
        <v>0</v>
      </c>
      <c r="G285" s="84">
        <f t="shared" si="15"/>
        <v>0</v>
      </c>
      <c r="H285" s="81"/>
      <c r="I285" s="44"/>
      <c r="J285" s="44"/>
    </row>
    <row r="286" spans="1:11" s="3" customFormat="1" ht="14.4" hidden="1" x14ac:dyDescent="0.3">
      <c r="B286" s="42">
        <v>17</v>
      </c>
      <c r="C286" s="40" t="s">
        <v>73</v>
      </c>
      <c r="D286" s="26"/>
      <c r="E286" s="26"/>
      <c r="F286" s="49">
        <f t="shared" si="14"/>
        <v>0</v>
      </c>
      <c r="G286" s="84">
        <f t="shared" si="15"/>
        <v>0</v>
      </c>
      <c r="H286" s="81"/>
      <c r="I286" s="44"/>
      <c r="J286" s="44"/>
    </row>
    <row r="287" spans="1:11" s="3" customFormat="1" ht="14.4" hidden="1" x14ac:dyDescent="0.3">
      <c r="B287" s="42">
        <v>18</v>
      </c>
      <c r="C287" s="40" t="s">
        <v>74</v>
      </c>
      <c r="D287" s="26"/>
      <c r="E287" s="26"/>
      <c r="F287" s="49">
        <f t="shared" si="14"/>
        <v>0</v>
      </c>
      <c r="G287" s="84">
        <f t="shared" si="15"/>
        <v>0</v>
      </c>
      <c r="H287" s="81"/>
      <c r="I287" s="44"/>
      <c r="J287" s="44"/>
    </row>
    <row r="288" spans="1:11" s="3" customFormat="1" ht="14.4" hidden="1" x14ac:dyDescent="0.3">
      <c r="B288" s="42">
        <v>19</v>
      </c>
      <c r="C288" s="40" t="s">
        <v>75</v>
      </c>
      <c r="D288" s="26"/>
      <c r="E288" s="26"/>
      <c r="F288" s="49">
        <f t="shared" si="14"/>
        <v>0</v>
      </c>
      <c r="G288" s="84">
        <f t="shared" si="15"/>
        <v>0</v>
      </c>
      <c r="H288" s="81"/>
      <c r="I288" s="44"/>
      <c r="J288" s="44"/>
    </row>
    <row r="289" spans="1:10" s="3" customFormat="1" ht="14.4" hidden="1" x14ac:dyDescent="0.3">
      <c r="B289" s="42">
        <v>20</v>
      </c>
      <c r="C289" s="40" t="s">
        <v>76</v>
      </c>
      <c r="D289" s="26"/>
      <c r="E289" s="26"/>
      <c r="F289" s="49">
        <f t="shared" si="14"/>
        <v>0</v>
      </c>
      <c r="G289" s="84">
        <f t="shared" si="15"/>
        <v>0</v>
      </c>
      <c r="H289" s="81"/>
      <c r="I289" s="44"/>
      <c r="J289" s="44"/>
    </row>
    <row r="290" spans="1:10" s="3" customFormat="1" ht="14.4" hidden="1" x14ac:dyDescent="0.3">
      <c r="B290" s="42">
        <v>21</v>
      </c>
      <c r="C290" s="40" t="s">
        <v>77</v>
      </c>
      <c r="D290" s="26"/>
      <c r="E290" s="26"/>
      <c r="F290" s="49">
        <f t="shared" si="14"/>
        <v>0</v>
      </c>
      <c r="G290" s="84">
        <f t="shared" si="15"/>
        <v>0</v>
      </c>
      <c r="H290" s="81"/>
      <c r="I290" s="44"/>
      <c r="J290" s="44"/>
    </row>
    <row r="291" spans="1:10" s="3" customFormat="1" ht="14.4" hidden="1" x14ac:dyDescent="0.3">
      <c r="B291" s="42">
        <v>22</v>
      </c>
      <c r="C291" s="40" t="s">
        <v>78</v>
      </c>
      <c r="D291" s="26"/>
      <c r="E291" s="26"/>
      <c r="F291" s="49">
        <f t="shared" si="14"/>
        <v>0</v>
      </c>
      <c r="G291" s="84">
        <f t="shared" si="15"/>
        <v>0</v>
      </c>
      <c r="H291" s="81"/>
      <c r="I291" s="44"/>
      <c r="J291" s="44"/>
    </row>
    <row r="292" spans="1:10" s="3" customFormat="1" ht="14.4" hidden="1" x14ac:dyDescent="0.3">
      <c r="B292" s="42">
        <v>23</v>
      </c>
      <c r="C292" s="40" t="s">
        <v>79</v>
      </c>
      <c r="D292" s="26"/>
      <c r="E292" s="26"/>
      <c r="F292" s="49">
        <f t="shared" si="14"/>
        <v>0</v>
      </c>
      <c r="G292" s="84">
        <f t="shared" si="15"/>
        <v>0</v>
      </c>
      <c r="H292" s="81"/>
      <c r="I292" s="44"/>
      <c r="J292" s="44"/>
    </row>
    <row r="293" spans="1:10" s="3" customFormat="1" ht="14.4" hidden="1" x14ac:dyDescent="0.3">
      <c r="B293" s="42">
        <v>24</v>
      </c>
      <c r="C293" s="40" t="s">
        <v>80</v>
      </c>
      <c r="D293" s="26"/>
      <c r="E293" s="26"/>
      <c r="F293" s="49">
        <f t="shared" si="14"/>
        <v>0</v>
      </c>
      <c r="G293" s="84">
        <f t="shared" si="15"/>
        <v>0</v>
      </c>
      <c r="H293" s="81"/>
      <c r="I293" s="44"/>
      <c r="J293" s="44"/>
    </row>
    <row r="294" spans="1:10" s="3" customFormat="1" ht="14.4" hidden="1" x14ac:dyDescent="0.3">
      <c r="B294" s="42">
        <v>25</v>
      </c>
      <c r="C294" s="87" t="s">
        <v>81</v>
      </c>
      <c r="D294" s="26"/>
      <c r="E294" s="26"/>
      <c r="F294" s="49">
        <f t="shared" si="14"/>
        <v>0</v>
      </c>
      <c r="G294" s="84">
        <f t="shared" si="15"/>
        <v>0</v>
      </c>
      <c r="H294" s="81"/>
      <c r="I294" s="44"/>
      <c r="J294" s="44"/>
    </row>
    <row r="295" spans="1:10" s="3" customFormat="1" ht="14.4" hidden="1" x14ac:dyDescent="0.3">
      <c r="B295" s="42">
        <v>26</v>
      </c>
      <c r="C295" s="87" t="s">
        <v>82</v>
      </c>
      <c r="D295" s="33"/>
      <c r="E295" s="33"/>
      <c r="F295" s="66">
        <f t="shared" si="14"/>
        <v>0</v>
      </c>
      <c r="G295" s="88">
        <f t="shared" si="15"/>
        <v>0</v>
      </c>
      <c r="H295" s="81"/>
      <c r="I295" s="44"/>
      <c r="J295" s="44"/>
    </row>
    <row r="296" spans="1:10" ht="14.4" x14ac:dyDescent="0.3">
      <c r="A296" s="3"/>
      <c r="B296" s="5" t="s">
        <v>57</v>
      </c>
      <c r="C296" s="89" t="s">
        <v>57</v>
      </c>
      <c r="D296" s="90" t="s">
        <v>57</v>
      </c>
      <c r="E296" s="90"/>
      <c r="F296" s="90" t="s">
        <v>57</v>
      </c>
      <c r="G296" s="90" t="s">
        <v>57</v>
      </c>
      <c r="H296" s="6" t="s">
        <v>57</v>
      </c>
      <c r="I296" s="3"/>
    </row>
    <row r="297" spans="1:10" ht="14.4" x14ac:dyDescent="0.3">
      <c r="A297" s="3"/>
      <c r="B297" s="8" t="s">
        <v>39</v>
      </c>
      <c r="C297" s="91"/>
      <c r="D297" s="90" t="s">
        <v>57</v>
      </c>
      <c r="E297" s="90" t="s">
        <v>57</v>
      </c>
      <c r="F297" s="90" t="s">
        <v>57</v>
      </c>
      <c r="G297" s="90" t="s">
        <v>57</v>
      </c>
      <c r="H297" s="6" t="s">
        <v>57</v>
      </c>
      <c r="I297" s="3"/>
    </row>
    <row r="298" spans="1:10" ht="14.4" x14ac:dyDescent="0.3">
      <c r="A298" s="3"/>
      <c r="B298" s="9" t="s">
        <v>40</v>
      </c>
      <c r="C298" s="5"/>
      <c r="D298" s="6"/>
      <c r="E298" s="6"/>
      <c r="F298" s="92"/>
      <c r="G298" s="92"/>
      <c r="H298" s="93"/>
      <c r="I298" s="3"/>
    </row>
    <row r="299" spans="1:10" ht="14.4" x14ac:dyDescent="0.3">
      <c r="A299" s="3"/>
      <c r="B299" s="9" t="s">
        <v>41</v>
      </c>
      <c r="C299" s="5"/>
      <c r="D299" s="6"/>
      <c r="E299" s="6"/>
      <c r="F299" s="92"/>
      <c r="G299" s="90" t="s">
        <v>57</v>
      </c>
      <c r="H299" s="6" t="s">
        <v>57</v>
      </c>
      <c r="I299" s="3"/>
    </row>
    <row r="300" spans="1:10" ht="14.4" x14ac:dyDescent="0.3">
      <c r="A300" s="3"/>
      <c r="B300" s="9" t="s">
        <v>42</v>
      </c>
      <c r="C300" s="5"/>
      <c r="D300" s="6"/>
      <c r="E300" s="6"/>
      <c r="F300" s="90" t="s">
        <v>57</v>
      </c>
      <c r="G300" s="90" t="s">
        <v>57</v>
      </c>
      <c r="H300" s="6" t="s">
        <v>57</v>
      </c>
      <c r="I300" s="3"/>
    </row>
    <row r="301" spans="1:10" ht="14.4" x14ac:dyDescent="0.3">
      <c r="A301" s="3"/>
      <c r="B301" s="9" t="s">
        <v>57</v>
      </c>
      <c r="C301" s="89" t="s">
        <v>57</v>
      </c>
      <c r="D301" s="90" t="s">
        <v>57</v>
      </c>
      <c r="E301" s="90" t="s">
        <v>57</v>
      </c>
      <c r="F301" s="90" t="s">
        <v>57</v>
      </c>
      <c r="G301" s="90" t="s">
        <v>57</v>
      </c>
      <c r="H301" s="6" t="s">
        <v>57</v>
      </c>
      <c r="I301" s="3"/>
    </row>
    <row r="302" spans="1:10" ht="14.4" x14ac:dyDescent="0.3">
      <c r="A302" s="3"/>
      <c r="B302" s="69" t="s">
        <v>61</v>
      </c>
      <c r="C302" s="70"/>
      <c r="D302" s="71"/>
      <c r="E302" s="71"/>
      <c r="F302" s="71"/>
      <c r="G302" s="71"/>
      <c r="H302" s="72"/>
      <c r="I302" s="3"/>
    </row>
    <row r="303" spans="1:10" ht="14.4" x14ac:dyDescent="0.3">
      <c r="A303" s="3"/>
      <c r="B303" s="69" t="s">
        <v>56</v>
      </c>
      <c r="C303" s="70"/>
      <c r="D303" s="71"/>
      <c r="E303" s="71" t="s">
        <v>57</v>
      </c>
      <c r="F303" s="71" t="s">
        <v>57</v>
      </c>
      <c r="G303" s="71" t="s">
        <v>57</v>
      </c>
      <c r="H303" s="72" t="s">
        <v>57</v>
      </c>
      <c r="I303" s="3"/>
    </row>
    <row r="304" spans="1:10" ht="14.4" x14ac:dyDescent="0.3">
      <c r="A304" s="3"/>
      <c r="B304" s="3"/>
      <c r="C304" s="73"/>
      <c r="D304" s="74"/>
      <c r="E304" s="74"/>
      <c r="F304" s="74"/>
      <c r="G304" s="74"/>
      <c r="H304" s="41"/>
      <c r="I304" s="3"/>
    </row>
    <row r="305" spans="1:11" ht="14.4" x14ac:dyDescent="0.3">
      <c r="A305" s="3"/>
      <c r="B305" s="3"/>
      <c r="C305" s="73"/>
      <c r="D305" s="74"/>
      <c r="E305" s="74"/>
      <c r="F305" s="74"/>
      <c r="G305" s="74"/>
      <c r="H305" s="41"/>
      <c r="I305" s="3"/>
    </row>
    <row r="306" spans="1:11" ht="16.5" customHeight="1" x14ac:dyDescent="0.35">
      <c r="A306" s="34"/>
      <c r="B306" s="35" t="s">
        <v>57</v>
      </c>
      <c r="C306" s="75" t="s">
        <v>57</v>
      </c>
      <c r="D306" s="187" t="s">
        <v>62</v>
      </c>
      <c r="E306" s="187"/>
      <c r="F306" s="187"/>
      <c r="G306" s="187"/>
      <c r="H306" s="187"/>
      <c r="I306" s="2" t="s">
        <v>0</v>
      </c>
    </row>
    <row r="307" spans="1:11" ht="15.9" customHeight="1" x14ac:dyDescent="0.3">
      <c r="A307" s="3"/>
      <c r="B307" s="128" t="s">
        <v>84</v>
      </c>
      <c r="C307" s="128"/>
      <c r="D307" s="128"/>
      <c r="E307" s="128"/>
      <c r="F307" s="128"/>
      <c r="G307" s="128"/>
      <c r="H307" s="128"/>
      <c r="I307" s="2" t="s">
        <v>1</v>
      </c>
    </row>
    <row r="308" spans="1:11" ht="14.4" x14ac:dyDescent="0.3">
      <c r="A308" s="3"/>
      <c r="B308" s="15"/>
      <c r="C308" s="16"/>
      <c r="D308" s="118" t="s">
        <v>6</v>
      </c>
      <c r="E308" s="118"/>
      <c r="F308" s="118"/>
      <c r="G308" s="118"/>
      <c r="H308" s="181" t="s">
        <v>57</v>
      </c>
      <c r="I308" s="2" t="s">
        <v>2</v>
      </c>
    </row>
    <row r="309" spans="1:11" ht="14.4" x14ac:dyDescent="0.3">
      <c r="A309" s="3"/>
      <c r="B309" s="13"/>
      <c r="C309" s="14"/>
      <c r="D309" s="125" t="s">
        <v>9</v>
      </c>
      <c r="E309" s="125"/>
      <c r="F309" s="125"/>
      <c r="G309" s="125"/>
      <c r="H309" s="181"/>
      <c r="I309" s="2" t="s">
        <v>3</v>
      </c>
    </row>
    <row r="310" spans="1:11" ht="14.4" x14ac:dyDescent="0.3">
      <c r="A310" s="3"/>
      <c r="B310" s="132" t="s">
        <v>10</v>
      </c>
      <c r="C310" s="134" t="s">
        <v>11</v>
      </c>
      <c r="D310" s="62" t="s">
        <v>12</v>
      </c>
      <c r="E310" s="62" t="s">
        <v>13</v>
      </c>
      <c r="F310" s="62" t="s">
        <v>14</v>
      </c>
      <c r="G310" s="76" t="s">
        <v>15</v>
      </c>
      <c r="H310" s="176" t="s">
        <v>57</v>
      </c>
      <c r="I310" s="2" t="s">
        <v>4</v>
      </c>
    </row>
    <row r="311" spans="1:11" ht="14.4" x14ac:dyDescent="0.3">
      <c r="A311" s="3"/>
      <c r="B311" s="132"/>
      <c r="C311" s="134"/>
      <c r="D311" s="145" t="s">
        <v>20</v>
      </c>
      <c r="E311" s="145"/>
      <c r="F311" s="145"/>
      <c r="G311" s="145"/>
      <c r="H311" s="176"/>
      <c r="I311" s="3"/>
    </row>
    <row r="312" spans="1:11" ht="14.4" x14ac:dyDescent="0.3">
      <c r="A312" s="3"/>
      <c r="B312" s="42">
        <v>4</v>
      </c>
      <c r="C312" s="77" t="s">
        <v>21</v>
      </c>
      <c r="D312" s="78">
        <v>76057.22</v>
      </c>
      <c r="E312" s="26">
        <v>0</v>
      </c>
      <c r="F312" s="79">
        <f>+E312+D312</f>
        <v>76057.22</v>
      </c>
      <c r="G312" s="80">
        <f>+F312</f>
        <v>76057.22</v>
      </c>
      <c r="H312" s="81" t="s">
        <v>57</v>
      </c>
      <c r="I312" s="3"/>
    </row>
    <row r="313" spans="1:11" ht="14.4" x14ac:dyDescent="0.3">
      <c r="A313" s="3"/>
      <c r="B313" s="82">
        <v>5</v>
      </c>
      <c r="C313" s="83" t="s">
        <v>22</v>
      </c>
      <c r="D313" s="78">
        <v>250508.2</v>
      </c>
      <c r="E313" s="26">
        <v>0</v>
      </c>
      <c r="F313" s="79">
        <f>+E313+D313</f>
        <v>250508.2</v>
      </c>
      <c r="G313" s="80">
        <f>+G312+F313</f>
        <v>326565.42000000004</v>
      </c>
      <c r="H313" s="81" t="s">
        <v>57</v>
      </c>
      <c r="I313" s="3"/>
    </row>
    <row r="314" spans="1:11" ht="14.4" x14ac:dyDescent="0.3">
      <c r="A314" s="3"/>
      <c r="B314" s="82">
        <v>6</v>
      </c>
      <c r="C314" s="83" t="s">
        <v>23</v>
      </c>
      <c r="D314" s="78">
        <v>106013.4</v>
      </c>
      <c r="E314" s="26">
        <v>0</v>
      </c>
      <c r="F314" s="79">
        <f>+E314+D314</f>
        <v>106013.4</v>
      </c>
      <c r="G314" s="80">
        <f>+G313+F314</f>
        <v>432578.82000000007</v>
      </c>
      <c r="H314" s="81" t="s">
        <v>57</v>
      </c>
      <c r="I314" s="3"/>
    </row>
    <row r="315" spans="1:11" ht="14.4" x14ac:dyDescent="0.3">
      <c r="A315" s="3"/>
      <c r="B315" s="82">
        <v>7</v>
      </c>
      <c r="C315" s="83" t="s">
        <v>24</v>
      </c>
      <c r="D315" s="78">
        <v>133685.13</v>
      </c>
      <c r="E315" s="26">
        <f>185390.63-133685.13</f>
        <v>51705.5</v>
      </c>
      <c r="F315" s="79">
        <f>+E315+D315</f>
        <v>185390.63</v>
      </c>
      <c r="G315" s="80">
        <f>+G314+F315</f>
        <v>617969.45000000007</v>
      </c>
      <c r="H315" s="81" t="s">
        <v>57</v>
      </c>
      <c r="I315" s="3"/>
    </row>
    <row r="316" spans="1:11" ht="14.4" x14ac:dyDescent="0.3">
      <c r="A316" s="3"/>
      <c r="B316" s="42">
        <v>8</v>
      </c>
      <c r="C316" s="40" t="s">
        <v>25</v>
      </c>
      <c r="D316" s="26">
        <v>222264.72</v>
      </c>
      <c r="E316" s="26">
        <v>0</v>
      </c>
      <c r="F316" s="79">
        <f>+E316+D316</f>
        <v>222264.72</v>
      </c>
      <c r="G316" s="80">
        <f>+G315+F316</f>
        <v>840234.17</v>
      </c>
      <c r="H316" s="81"/>
      <c r="I316" s="85"/>
      <c r="J316" s="3"/>
      <c r="K316" s="3"/>
    </row>
    <row r="317" spans="1:11" s="3" customFormat="1" ht="14.4" x14ac:dyDescent="0.3">
      <c r="B317" s="42">
        <v>9</v>
      </c>
      <c r="C317" s="40" t="s">
        <v>26</v>
      </c>
      <c r="D317" s="26">
        <v>218373.12</v>
      </c>
      <c r="E317" s="26">
        <v>0</v>
      </c>
      <c r="F317" s="49">
        <f t="shared" ref="F317:F334" si="16">+E317+D317</f>
        <v>218373.12</v>
      </c>
      <c r="G317" s="84">
        <f t="shared" ref="G317:G334" si="17">+G316+F317</f>
        <v>1058607.29</v>
      </c>
      <c r="H317" s="81"/>
      <c r="I317" s="44"/>
      <c r="J317" s="44"/>
    </row>
    <row r="318" spans="1:11" s="3" customFormat="1" ht="14.4" x14ac:dyDescent="0.3">
      <c r="B318" s="42">
        <v>10</v>
      </c>
      <c r="C318" s="40" t="s">
        <v>67</v>
      </c>
      <c r="D318" s="26">
        <v>98851.59</v>
      </c>
      <c r="E318" s="26">
        <v>0</v>
      </c>
      <c r="F318" s="49">
        <f t="shared" si="16"/>
        <v>98851.59</v>
      </c>
      <c r="G318" s="84">
        <f t="shared" si="17"/>
        <v>1157458.8800000001</v>
      </c>
      <c r="H318" s="81"/>
      <c r="I318" s="44"/>
      <c r="J318" s="44"/>
    </row>
    <row r="319" spans="1:11" s="3" customFormat="1" ht="14.4" x14ac:dyDescent="0.3">
      <c r="B319" s="42">
        <v>11</v>
      </c>
      <c r="C319" s="40" t="s">
        <v>68</v>
      </c>
      <c r="D319" s="26">
        <v>127676.57</v>
      </c>
      <c r="E319" s="26">
        <v>0</v>
      </c>
      <c r="F319" s="49">
        <f t="shared" si="16"/>
        <v>127676.57</v>
      </c>
      <c r="G319" s="84">
        <f t="shared" si="17"/>
        <v>1285135.4500000002</v>
      </c>
      <c r="H319" s="81"/>
      <c r="I319" s="44"/>
      <c r="J319" s="44"/>
    </row>
    <row r="320" spans="1:11" s="3" customFormat="1" ht="14.4" x14ac:dyDescent="0.3">
      <c r="B320" s="42">
        <v>12</v>
      </c>
      <c r="C320" s="40" t="s">
        <v>83</v>
      </c>
      <c r="D320" s="26">
        <v>154602.06</v>
      </c>
      <c r="E320" s="26">
        <v>0</v>
      </c>
      <c r="F320" s="49">
        <f t="shared" si="16"/>
        <v>154602.06</v>
      </c>
      <c r="G320" s="84">
        <f t="shared" si="17"/>
        <v>1439737.5100000002</v>
      </c>
      <c r="H320" s="81"/>
      <c r="I320" s="44"/>
      <c r="J320" s="44"/>
    </row>
    <row r="321" spans="1:10" s="3" customFormat="1" ht="14.4" x14ac:dyDescent="0.3">
      <c r="B321" s="42">
        <v>13</v>
      </c>
      <c r="C321" s="40" t="s">
        <v>69</v>
      </c>
      <c r="D321" s="26">
        <v>94543.7</v>
      </c>
      <c r="E321" s="26">
        <v>0</v>
      </c>
      <c r="F321" s="49">
        <f t="shared" si="16"/>
        <v>94543.7</v>
      </c>
      <c r="G321" s="84">
        <f t="shared" si="17"/>
        <v>1534281.2100000002</v>
      </c>
      <c r="H321" s="81"/>
      <c r="I321" s="44"/>
      <c r="J321" s="44"/>
    </row>
    <row r="322" spans="1:10" s="3" customFormat="1" ht="15" customHeight="1" x14ac:dyDescent="0.3">
      <c r="B322" s="42">
        <v>14</v>
      </c>
      <c r="C322" s="86" t="s">
        <v>70</v>
      </c>
      <c r="D322" s="26">
        <v>48850.03</v>
      </c>
      <c r="E322" s="26">
        <v>0</v>
      </c>
      <c r="F322" s="49">
        <f t="shared" si="16"/>
        <v>48850.03</v>
      </c>
      <c r="G322" s="84">
        <f t="shared" si="17"/>
        <v>1583131.2400000002</v>
      </c>
      <c r="H322" s="81"/>
      <c r="I322" s="44"/>
      <c r="J322" s="44"/>
    </row>
    <row r="323" spans="1:10" s="3" customFormat="1" ht="14.4" hidden="1" x14ac:dyDescent="0.3">
      <c r="B323" s="42">
        <v>15</v>
      </c>
      <c r="C323" s="40" t="s">
        <v>71</v>
      </c>
      <c r="D323" s="26"/>
      <c r="E323" s="26"/>
      <c r="F323" s="49">
        <f t="shared" si="16"/>
        <v>0</v>
      </c>
      <c r="G323" s="84">
        <f t="shared" si="17"/>
        <v>1583131.2400000002</v>
      </c>
      <c r="H323" s="81"/>
      <c r="I323" s="44"/>
      <c r="J323" s="44"/>
    </row>
    <row r="324" spans="1:10" s="3" customFormat="1" ht="14.4" hidden="1" x14ac:dyDescent="0.3">
      <c r="B324" s="42">
        <v>16</v>
      </c>
      <c r="C324" s="40" t="s">
        <v>72</v>
      </c>
      <c r="D324" s="26"/>
      <c r="E324" s="26"/>
      <c r="F324" s="49">
        <f t="shared" si="16"/>
        <v>0</v>
      </c>
      <c r="G324" s="84">
        <f t="shared" si="17"/>
        <v>1583131.2400000002</v>
      </c>
      <c r="H324" s="81"/>
      <c r="I324" s="44"/>
      <c r="J324" s="44"/>
    </row>
    <row r="325" spans="1:10" s="3" customFormat="1" ht="14.4" hidden="1" x14ac:dyDescent="0.3">
      <c r="B325" s="42">
        <v>17</v>
      </c>
      <c r="C325" s="40" t="s">
        <v>73</v>
      </c>
      <c r="D325" s="26"/>
      <c r="E325" s="26"/>
      <c r="F325" s="49">
        <f t="shared" si="16"/>
        <v>0</v>
      </c>
      <c r="G325" s="84">
        <f t="shared" si="17"/>
        <v>1583131.2400000002</v>
      </c>
      <c r="H325" s="81"/>
      <c r="I325" s="44"/>
      <c r="J325" s="44"/>
    </row>
    <row r="326" spans="1:10" s="3" customFormat="1" ht="14.4" hidden="1" x14ac:dyDescent="0.3">
      <c r="B326" s="42">
        <v>18</v>
      </c>
      <c r="C326" s="40" t="s">
        <v>74</v>
      </c>
      <c r="D326" s="26"/>
      <c r="E326" s="26"/>
      <c r="F326" s="49">
        <f t="shared" si="16"/>
        <v>0</v>
      </c>
      <c r="G326" s="84">
        <f t="shared" si="17"/>
        <v>1583131.2400000002</v>
      </c>
      <c r="H326" s="81"/>
      <c r="I326" s="44"/>
      <c r="J326" s="44"/>
    </row>
    <row r="327" spans="1:10" s="3" customFormat="1" ht="14.4" hidden="1" x14ac:dyDescent="0.3">
      <c r="B327" s="42">
        <v>19</v>
      </c>
      <c r="C327" s="40" t="s">
        <v>75</v>
      </c>
      <c r="D327" s="26"/>
      <c r="E327" s="26"/>
      <c r="F327" s="49">
        <f t="shared" si="16"/>
        <v>0</v>
      </c>
      <c r="G327" s="84">
        <f t="shared" si="17"/>
        <v>1583131.2400000002</v>
      </c>
      <c r="H327" s="81"/>
      <c r="I327" s="44"/>
      <c r="J327" s="44"/>
    </row>
    <row r="328" spans="1:10" s="3" customFormat="1" ht="14.4" hidden="1" x14ac:dyDescent="0.3">
      <c r="B328" s="42">
        <v>20</v>
      </c>
      <c r="C328" s="40" t="s">
        <v>76</v>
      </c>
      <c r="D328" s="26"/>
      <c r="E328" s="26"/>
      <c r="F328" s="49">
        <f t="shared" si="16"/>
        <v>0</v>
      </c>
      <c r="G328" s="84">
        <f t="shared" si="17"/>
        <v>1583131.2400000002</v>
      </c>
      <c r="H328" s="81"/>
      <c r="I328" s="44"/>
      <c r="J328" s="44"/>
    </row>
    <row r="329" spans="1:10" s="3" customFormat="1" ht="14.4" hidden="1" x14ac:dyDescent="0.3">
      <c r="B329" s="42">
        <v>21</v>
      </c>
      <c r="C329" s="40" t="s">
        <v>77</v>
      </c>
      <c r="D329" s="26"/>
      <c r="E329" s="26"/>
      <c r="F329" s="49">
        <f t="shared" si="16"/>
        <v>0</v>
      </c>
      <c r="G329" s="84">
        <f t="shared" si="17"/>
        <v>1583131.2400000002</v>
      </c>
      <c r="H329" s="81"/>
      <c r="I329" s="44"/>
      <c r="J329" s="44"/>
    </row>
    <row r="330" spans="1:10" s="3" customFormat="1" ht="14.4" hidden="1" x14ac:dyDescent="0.3">
      <c r="B330" s="42">
        <v>22</v>
      </c>
      <c r="C330" s="40" t="s">
        <v>78</v>
      </c>
      <c r="D330" s="26"/>
      <c r="E330" s="26"/>
      <c r="F330" s="49">
        <f t="shared" si="16"/>
        <v>0</v>
      </c>
      <c r="G330" s="84">
        <f t="shared" si="17"/>
        <v>1583131.2400000002</v>
      </c>
      <c r="H330" s="81"/>
      <c r="I330" s="44"/>
      <c r="J330" s="44"/>
    </row>
    <row r="331" spans="1:10" s="3" customFormat="1" ht="14.4" hidden="1" x14ac:dyDescent="0.3">
      <c r="B331" s="42">
        <v>23</v>
      </c>
      <c r="C331" s="40" t="s">
        <v>79</v>
      </c>
      <c r="D331" s="26"/>
      <c r="E331" s="26"/>
      <c r="F331" s="49">
        <f t="shared" si="16"/>
        <v>0</v>
      </c>
      <c r="G331" s="84">
        <f t="shared" si="17"/>
        <v>1583131.2400000002</v>
      </c>
      <c r="H331" s="81"/>
      <c r="I331" s="44"/>
      <c r="J331" s="44"/>
    </row>
    <row r="332" spans="1:10" s="3" customFormat="1" ht="14.4" hidden="1" x14ac:dyDescent="0.3">
      <c r="B332" s="42">
        <v>24</v>
      </c>
      <c r="C332" s="40" t="s">
        <v>80</v>
      </c>
      <c r="D332" s="26"/>
      <c r="E332" s="26"/>
      <c r="F332" s="49">
        <f t="shared" si="16"/>
        <v>0</v>
      </c>
      <c r="G332" s="84">
        <f t="shared" si="17"/>
        <v>1583131.2400000002</v>
      </c>
      <c r="H332" s="81"/>
      <c r="I332" s="44"/>
      <c r="J332" s="44"/>
    </row>
    <row r="333" spans="1:10" s="3" customFormat="1" ht="14.4" hidden="1" x14ac:dyDescent="0.3">
      <c r="B333" s="42">
        <v>25</v>
      </c>
      <c r="C333" s="87" t="s">
        <v>81</v>
      </c>
      <c r="D333" s="26"/>
      <c r="E333" s="26"/>
      <c r="F333" s="49">
        <f t="shared" si="16"/>
        <v>0</v>
      </c>
      <c r="G333" s="84">
        <f t="shared" si="17"/>
        <v>1583131.2400000002</v>
      </c>
      <c r="H333" s="81"/>
      <c r="I333" s="44"/>
      <c r="J333" s="44"/>
    </row>
    <row r="334" spans="1:10" s="3" customFormat="1" ht="14.4" hidden="1" x14ac:dyDescent="0.3">
      <c r="B334" s="42">
        <v>26</v>
      </c>
      <c r="C334" s="87" t="s">
        <v>82</v>
      </c>
      <c r="D334" s="33"/>
      <c r="E334" s="33"/>
      <c r="F334" s="66">
        <f t="shared" si="16"/>
        <v>0</v>
      </c>
      <c r="G334" s="88">
        <f t="shared" si="17"/>
        <v>1583131.2400000002</v>
      </c>
      <c r="H334" s="81"/>
      <c r="I334" s="44"/>
      <c r="J334" s="44"/>
    </row>
    <row r="335" spans="1:10" ht="14.4" x14ac:dyDescent="0.3">
      <c r="A335" s="3"/>
      <c r="B335" s="5" t="s">
        <v>57</v>
      </c>
      <c r="C335" s="89" t="s">
        <v>57</v>
      </c>
      <c r="D335" s="90" t="s">
        <v>57</v>
      </c>
      <c r="E335" s="90" t="s">
        <v>57</v>
      </c>
      <c r="F335" s="90" t="s">
        <v>57</v>
      </c>
      <c r="G335" s="90" t="s">
        <v>57</v>
      </c>
      <c r="H335" s="6" t="s">
        <v>57</v>
      </c>
      <c r="I335" s="3"/>
      <c r="J335" s="100"/>
    </row>
    <row r="336" spans="1:10" ht="14.4" x14ac:dyDescent="0.3">
      <c r="A336" s="3"/>
      <c r="B336" s="8" t="s">
        <v>39</v>
      </c>
      <c r="C336" s="91"/>
      <c r="D336" s="90" t="s">
        <v>57</v>
      </c>
      <c r="E336" s="90" t="s">
        <v>57</v>
      </c>
      <c r="F336" s="90" t="s">
        <v>57</v>
      </c>
      <c r="G336" s="90" t="s">
        <v>57</v>
      </c>
      <c r="H336" s="6" t="s">
        <v>57</v>
      </c>
      <c r="I336" s="3"/>
      <c r="J336" s="100"/>
    </row>
    <row r="337" spans="1:9" ht="14.4" x14ac:dyDescent="0.3">
      <c r="A337" s="3"/>
      <c r="B337" s="9" t="s">
        <v>40</v>
      </c>
      <c r="C337" s="5"/>
      <c r="D337" s="6"/>
      <c r="E337" s="6"/>
      <c r="F337" s="92"/>
      <c r="G337" s="92"/>
      <c r="H337" s="93"/>
      <c r="I337" s="3"/>
    </row>
    <row r="338" spans="1:9" ht="14.4" x14ac:dyDescent="0.3">
      <c r="A338" s="3"/>
      <c r="B338" s="9" t="s">
        <v>41</v>
      </c>
      <c r="C338" s="5"/>
      <c r="D338" s="6"/>
      <c r="E338" s="6"/>
      <c r="F338" s="92"/>
      <c r="G338" s="90" t="s">
        <v>57</v>
      </c>
      <c r="H338" s="6" t="s">
        <v>57</v>
      </c>
      <c r="I338" s="3"/>
    </row>
    <row r="339" spans="1:9" ht="14.4" x14ac:dyDescent="0.3">
      <c r="A339" s="3"/>
      <c r="B339" s="9" t="s">
        <v>42</v>
      </c>
      <c r="C339" s="5"/>
      <c r="D339" s="6"/>
      <c r="E339" s="6"/>
      <c r="F339" s="90" t="s">
        <v>57</v>
      </c>
      <c r="G339" s="90" t="s">
        <v>57</v>
      </c>
      <c r="H339" s="6" t="s">
        <v>57</v>
      </c>
      <c r="I339" s="3"/>
    </row>
    <row r="340" spans="1:9" ht="14.4" x14ac:dyDescent="0.3">
      <c r="A340" s="3"/>
      <c r="B340" s="9" t="s">
        <v>57</v>
      </c>
      <c r="C340" s="89" t="s">
        <v>57</v>
      </c>
      <c r="D340" s="90" t="s">
        <v>57</v>
      </c>
      <c r="E340" s="90" t="s">
        <v>57</v>
      </c>
      <c r="F340" s="90" t="s">
        <v>57</v>
      </c>
      <c r="G340" s="90" t="s">
        <v>57</v>
      </c>
      <c r="H340" s="6" t="s">
        <v>57</v>
      </c>
      <c r="I340" s="3"/>
    </row>
    <row r="341" spans="1:9" ht="14.4" x14ac:dyDescent="0.3">
      <c r="A341" s="3"/>
      <c r="B341" s="9" t="s">
        <v>57</v>
      </c>
      <c r="C341" s="89" t="s">
        <v>57</v>
      </c>
      <c r="D341" s="90" t="s">
        <v>57</v>
      </c>
      <c r="E341" s="90" t="s">
        <v>57</v>
      </c>
      <c r="F341" s="90" t="s">
        <v>57</v>
      </c>
      <c r="G341" s="90" t="s">
        <v>57</v>
      </c>
      <c r="H341" s="6" t="s">
        <v>57</v>
      </c>
      <c r="I341" s="3"/>
    </row>
    <row r="342" spans="1:9" ht="18" x14ac:dyDescent="0.35">
      <c r="A342" s="3"/>
      <c r="C342" s="94"/>
      <c r="D342" s="185" t="s">
        <v>43</v>
      </c>
      <c r="E342" s="185"/>
      <c r="F342" s="185"/>
      <c r="G342" s="185"/>
      <c r="H342" s="185"/>
      <c r="I342" s="3"/>
    </row>
    <row r="343" spans="1:9" ht="15.6" x14ac:dyDescent="0.3">
      <c r="A343" s="37"/>
      <c r="B343" s="27" t="s">
        <v>57</v>
      </c>
      <c r="C343" s="95" t="s">
        <v>57</v>
      </c>
      <c r="D343" s="186" t="s">
        <v>62</v>
      </c>
      <c r="E343" s="186"/>
      <c r="F343" s="186"/>
      <c r="G343" s="186"/>
      <c r="H343" s="186"/>
      <c r="I343" s="37"/>
    </row>
    <row r="344" spans="1:9" ht="15.9" customHeight="1" x14ac:dyDescent="0.3">
      <c r="A344" s="3"/>
      <c r="B344" s="128" t="s">
        <v>84</v>
      </c>
      <c r="C344" s="128"/>
      <c r="D344" s="128"/>
      <c r="E344" s="128"/>
      <c r="F344" s="128"/>
      <c r="G344" s="128"/>
      <c r="H344" s="128"/>
      <c r="I344" s="3"/>
    </row>
    <row r="345" spans="1:9" ht="14.4" x14ac:dyDescent="0.3">
      <c r="A345" s="3"/>
      <c r="B345" s="15"/>
      <c r="C345" s="16"/>
      <c r="D345" s="118" t="s">
        <v>6</v>
      </c>
      <c r="E345" s="118"/>
      <c r="F345" s="118"/>
      <c r="G345" s="118"/>
      <c r="H345" s="181" t="s">
        <v>57</v>
      </c>
      <c r="I345" s="3"/>
    </row>
    <row r="346" spans="1:9" ht="14.4" x14ac:dyDescent="0.3">
      <c r="A346" s="3"/>
      <c r="B346" s="13"/>
      <c r="C346" s="14"/>
      <c r="D346" s="125" t="s">
        <v>9</v>
      </c>
      <c r="E346" s="125"/>
      <c r="F346" s="125"/>
      <c r="G346" s="125"/>
      <c r="H346" s="181"/>
      <c r="I346" s="3"/>
    </row>
    <row r="347" spans="1:9" ht="14.4" x14ac:dyDescent="0.3">
      <c r="A347" s="3"/>
      <c r="B347" s="132" t="s">
        <v>10</v>
      </c>
      <c r="C347" s="134" t="s">
        <v>11</v>
      </c>
      <c r="D347" s="62" t="s">
        <v>12</v>
      </c>
      <c r="E347" s="62" t="s">
        <v>13</v>
      </c>
      <c r="F347" s="62" t="s">
        <v>14</v>
      </c>
      <c r="G347" s="76" t="s">
        <v>15</v>
      </c>
      <c r="H347" s="176" t="s">
        <v>57</v>
      </c>
      <c r="I347" s="3"/>
    </row>
    <row r="348" spans="1:9" ht="14.4" x14ac:dyDescent="0.3">
      <c r="A348" s="3"/>
      <c r="B348" s="132"/>
      <c r="C348" s="134"/>
      <c r="D348" s="145" t="s">
        <v>20</v>
      </c>
      <c r="E348" s="145"/>
      <c r="F348" s="145"/>
      <c r="G348" s="145"/>
      <c r="H348" s="176"/>
      <c r="I348" s="3"/>
    </row>
    <row r="349" spans="1:9" ht="14.4" x14ac:dyDescent="0.3">
      <c r="A349" s="3"/>
      <c r="B349" s="42">
        <v>4</v>
      </c>
      <c r="C349" s="77" t="s">
        <v>21</v>
      </c>
      <c r="D349" s="78">
        <v>37918.22</v>
      </c>
      <c r="E349" s="26">
        <v>0</v>
      </c>
      <c r="F349" s="79">
        <f>+E349+D349</f>
        <v>37918.22</v>
      </c>
      <c r="G349" s="80">
        <f>+F349</f>
        <v>37918.22</v>
      </c>
      <c r="H349" s="81" t="s">
        <v>57</v>
      </c>
      <c r="I349" s="3"/>
    </row>
    <row r="350" spans="1:9" ht="14.4" x14ac:dyDescent="0.3">
      <c r="A350" s="3"/>
      <c r="B350" s="82">
        <v>5</v>
      </c>
      <c r="C350" s="83" t="s">
        <v>22</v>
      </c>
      <c r="D350" s="78">
        <v>48259.5</v>
      </c>
      <c r="E350" s="26">
        <v>0</v>
      </c>
      <c r="F350" s="79">
        <f>+E350+D350</f>
        <v>48259.5</v>
      </c>
      <c r="G350" s="80">
        <f>+G349+F350</f>
        <v>86177.72</v>
      </c>
      <c r="H350" s="81" t="s">
        <v>57</v>
      </c>
      <c r="I350" s="3"/>
    </row>
    <row r="351" spans="1:9" ht="14.4" x14ac:dyDescent="0.3">
      <c r="A351" s="3"/>
      <c r="B351" s="82">
        <v>6</v>
      </c>
      <c r="C351" s="83" t="s">
        <v>23</v>
      </c>
      <c r="D351" s="78">
        <v>32894.22</v>
      </c>
      <c r="E351" s="26">
        <v>0</v>
      </c>
      <c r="F351" s="79">
        <f>+E351+D351</f>
        <v>32894.22</v>
      </c>
      <c r="G351" s="80">
        <f>+G350+F351</f>
        <v>119071.94</v>
      </c>
      <c r="H351" s="81" t="s">
        <v>57</v>
      </c>
      <c r="I351" s="3"/>
    </row>
    <row r="352" spans="1:9" ht="14.4" x14ac:dyDescent="0.3">
      <c r="A352" s="3"/>
      <c r="B352" s="82">
        <v>7</v>
      </c>
      <c r="C352" s="83" t="s">
        <v>24</v>
      </c>
      <c r="D352" s="78">
        <v>67457.5</v>
      </c>
      <c r="E352" s="26">
        <f>119163-67457.5</f>
        <v>51705.5</v>
      </c>
      <c r="F352" s="79">
        <f>+E352+D352</f>
        <v>119163</v>
      </c>
      <c r="G352" s="80">
        <f>+G351+F352</f>
        <v>238234.94</v>
      </c>
      <c r="H352" s="81" t="s">
        <v>57</v>
      </c>
      <c r="I352" s="3"/>
    </row>
    <row r="353" spans="1:11" ht="14.4" x14ac:dyDescent="0.3">
      <c r="A353" s="3"/>
      <c r="B353" s="42">
        <v>8</v>
      </c>
      <c r="C353" s="40" t="s">
        <v>25</v>
      </c>
      <c r="D353" s="26">
        <v>159519.04999999999</v>
      </c>
      <c r="E353" s="26">
        <v>0</v>
      </c>
      <c r="F353" s="79">
        <f>+E353+D353</f>
        <v>159519.04999999999</v>
      </c>
      <c r="G353" s="80">
        <f>+G352+F353</f>
        <v>397753.99</v>
      </c>
      <c r="H353" s="81"/>
      <c r="I353" s="10"/>
      <c r="J353" s="3"/>
      <c r="K353" s="3"/>
    </row>
    <row r="354" spans="1:11" s="3" customFormat="1" ht="14.4" x14ac:dyDescent="0.3">
      <c r="B354" s="42">
        <v>9</v>
      </c>
      <c r="C354" s="40" t="s">
        <v>26</v>
      </c>
      <c r="D354" s="26">
        <v>96343.51</v>
      </c>
      <c r="E354" s="26">
        <v>0</v>
      </c>
      <c r="F354" s="49">
        <f t="shared" ref="F354:F371" si="18">+E354+D354</f>
        <v>96343.51</v>
      </c>
      <c r="G354" s="84">
        <f t="shared" ref="G354:G371" si="19">+G353+F354</f>
        <v>494097.5</v>
      </c>
      <c r="H354" s="81"/>
      <c r="I354" s="44"/>
      <c r="J354" s="44"/>
    </row>
    <row r="355" spans="1:11" s="3" customFormat="1" ht="14.4" x14ac:dyDescent="0.3">
      <c r="B355" s="42">
        <v>10</v>
      </c>
      <c r="C355" s="40" t="s">
        <v>67</v>
      </c>
      <c r="D355" s="26">
        <v>59380.5</v>
      </c>
      <c r="E355" s="26">
        <v>0</v>
      </c>
      <c r="F355" s="49">
        <f t="shared" si="18"/>
        <v>59380.5</v>
      </c>
      <c r="G355" s="84">
        <f t="shared" si="19"/>
        <v>553478</v>
      </c>
      <c r="H355" s="81"/>
      <c r="I355" s="44"/>
      <c r="J355" s="44"/>
    </row>
    <row r="356" spans="1:11" s="3" customFormat="1" ht="14.4" x14ac:dyDescent="0.3">
      <c r="B356" s="42">
        <v>11</v>
      </c>
      <c r="C356" s="40" t="s">
        <v>68</v>
      </c>
      <c r="D356" s="26">
        <v>73991.02</v>
      </c>
      <c r="E356" s="26">
        <v>0</v>
      </c>
      <c r="F356" s="49">
        <f t="shared" si="18"/>
        <v>73991.02</v>
      </c>
      <c r="G356" s="84">
        <f t="shared" si="19"/>
        <v>627469.02</v>
      </c>
      <c r="H356" s="81"/>
      <c r="I356" s="44"/>
      <c r="J356" s="44"/>
    </row>
    <row r="357" spans="1:11" s="3" customFormat="1" ht="14.4" x14ac:dyDescent="0.3">
      <c r="B357" s="42">
        <v>12</v>
      </c>
      <c r="C357" s="40" t="s">
        <v>83</v>
      </c>
      <c r="D357" s="26">
        <v>84057.51</v>
      </c>
      <c r="E357" s="26">
        <v>0</v>
      </c>
      <c r="F357" s="49">
        <f t="shared" si="18"/>
        <v>84057.51</v>
      </c>
      <c r="G357" s="84">
        <f t="shared" si="19"/>
        <v>711526.53</v>
      </c>
      <c r="H357" s="81"/>
      <c r="I357" s="44"/>
      <c r="J357" s="44"/>
    </row>
    <row r="358" spans="1:11" s="3" customFormat="1" ht="14.4" x14ac:dyDescent="0.3">
      <c r="B358" s="42">
        <v>13</v>
      </c>
      <c r="C358" s="40" t="s">
        <v>69</v>
      </c>
      <c r="D358" s="26">
        <v>35014.699999999997</v>
      </c>
      <c r="E358" s="26">
        <v>0</v>
      </c>
      <c r="F358" s="49">
        <f t="shared" si="18"/>
        <v>35014.699999999997</v>
      </c>
      <c r="G358" s="84">
        <f t="shared" si="19"/>
        <v>746541.23</v>
      </c>
      <c r="H358" s="81"/>
      <c r="I358" s="44"/>
      <c r="J358" s="44"/>
    </row>
    <row r="359" spans="1:11" s="3" customFormat="1" ht="15" customHeight="1" x14ac:dyDescent="0.3">
      <c r="B359" s="42">
        <v>14</v>
      </c>
      <c r="C359" s="86" t="s">
        <v>70</v>
      </c>
      <c r="D359" s="26">
        <v>29413.01</v>
      </c>
      <c r="E359" s="26">
        <v>0</v>
      </c>
      <c r="F359" s="49">
        <f t="shared" si="18"/>
        <v>29413.01</v>
      </c>
      <c r="G359" s="84">
        <f t="shared" si="19"/>
        <v>775954.24</v>
      </c>
      <c r="H359" s="81"/>
      <c r="I359" s="44"/>
      <c r="J359" s="44"/>
    </row>
    <row r="360" spans="1:11" s="3" customFormat="1" ht="14.4" hidden="1" x14ac:dyDescent="0.3">
      <c r="B360" s="42">
        <v>15</v>
      </c>
      <c r="C360" s="40" t="s">
        <v>71</v>
      </c>
      <c r="D360" s="26"/>
      <c r="E360" s="26"/>
      <c r="F360" s="49">
        <f t="shared" si="18"/>
        <v>0</v>
      </c>
      <c r="G360" s="84">
        <f t="shared" si="19"/>
        <v>775954.24</v>
      </c>
      <c r="H360" s="81"/>
      <c r="I360" s="44"/>
      <c r="J360" s="44"/>
    </row>
    <row r="361" spans="1:11" s="3" customFormat="1" ht="14.4" hidden="1" x14ac:dyDescent="0.3">
      <c r="B361" s="42">
        <v>16</v>
      </c>
      <c r="C361" s="40" t="s">
        <v>72</v>
      </c>
      <c r="D361" s="26"/>
      <c r="E361" s="26"/>
      <c r="F361" s="49">
        <f t="shared" si="18"/>
        <v>0</v>
      </c>
      <c r="G361" s="84">
        <f t="shared" si="19"/>
        <v>775954.24</v>
      </c>
      <c r="H361" s="81"/>
      <c r="I361" s="44"/>
      <c r="J361" s="44"/>
    </row>
    <row r="362" spans="1:11" s="3" customFormat="1" ht="14.4" hidden="1" x14ac:dyDescent="0.3">
      <c r="B362" s="42">
        <v>17</v>
      </c>
      <c r="C362" s="40" t="s">
        <v>73</v>
      </c>
      <c r="D362" s="26"/>
      <c r="E362" s="26"/>
      <c r="F362" s="49">
        <f t="shared" si="18"/>
        <v>0</v>
      </c>
      <c r="G362" s="84">
        <f t="shared" si="19"/>
        <v>775954.24</v>
      </c>
      <c r="H362" s="81"/>
      <c r="I362" s="44"/>
      <c r="J362" s="44"/>
    </row>
    <row r="363" spans="1:11" s="3" customFormat="1" ht="14.4" hidden="1" x14ac:dyDescent="0.3">
      <c r="B363" s="42">
        <v>18</v>
      </c>
      <c r="C363" s="40" t="s">
        <v>74</v>
      </c>
      <c r="D363" s="26"/>
      <c r="E363" s="26"/>
      <c r="F363" s="49">
        <f t="shared" si="18"/>
        <v>0</v>
      </c>
      <c r="G363" s="84">
        <f t="shared" si="19"/>
        <v>775954.24</v>
      </c>
      <c r="H363" s="81"/>
      <c r="I363" s="44"/>
      <c r="J363" s="44"/>
    </row>
    <row r="364" spans="1:11" s="3" customFormat="1" ht="14.4" hidden="1" x14ac:dyDescent="0.3">
      <c r="B364" s="42">
        <v>19</v>
      </c>
      <c r="C364" s="40" t="s">
        <v>75</v>
      </c>
      <c r="D364" s="26"/>
      <c r="E364" s="26"/>
      <c r="F364" s="49">
        <f t="shared" si="18"/>
        <v>0</v>
      </c>
      <c r="G364" s="84">
        <f t="shared" si="19"/>
        <v>775954.24</v>
      </c>
      <c r="H364" s="81"/>
      <c r="I364" s="44"/>
      <c r="J364" s="44"/>
    </row>
    <row r="365" spans="1:11" s="3" customFormat="1" ht="14.4" hidden="1" x14ac:dyDescent="0.3">
      <c r="B365" s="42">
        <v>20</v>
      </c>
      <c r="C365" s="40" t="s">
        <v>76</v>
      </c>
      <c r="D365" s="26"/>
      <c r="E365" s="26"/>
      <c r="F365" s="49">
        <f t="shared" si="18"/>
        <v>0</v>
      </c>
      <c r="G365" s="84">
        <f t="shared" si="19"/>
        <v>775954.24</v>
      </c>
      <c r="H365" s="81"/>
      <c r="I365" s="44"/>
      <c r="J365" s="44"/>
    </row>
    <row r="366" spans="1:11" s="3" customFormat="1" ht="14.4" hidden="1" x14ac:dyDescent="0.3">
      <c r="B366" s="42">
        <v>21</v>
      </c>
      <c r="C366" s="40" t="s">
        <v>77</v>
      </c>
      <c r="D366" s="26"/>
      <c r="E366" s="26"/>
      <c r="F366" s="49">
        <f t="shared" si="18"/>
        <v>0</v>
      </c>
      <c r="G366" s="84">
        <f t="shared" si="19"/>
        <v>775954.24</v>
      </c>
      <c r="H366" s="81"/>
      <c r="I366" s="44"/>
      <c r="J366" s="44"/>
    </row>
    <row r="367" spans="1:11" s="3" customFormat="1" ht="14.4" hidden="1" x14ac:dyDescent="0.3">
      <c r="B367" s="42">
        <v>22</v>
      </c>
      <c r="C367" s="40" t="s">
        <v>78</v>
      </c>
      <c r="D367" s="26"/>
      <c r="E367" s="26"/>
      <c r="F367" s="49">
        <f t="shared" si="18"/>
        <v>0</v>
      </c>
      <c r="G367" s="84">
        <f t="shared" si="19"/>
        <v>775954.24</v>
      </c>
      <c r="H367" s="81"/>
      <c r="I367" s="44"/>
      <c r="J367" s="44"/>
    </row>
    <row r="368" spans="1:11" s="3" customFormat="1" ht="14.4" hidden="1" x14ac:dyDescent="0.3">
      <c r="B368" s="42">
        <v>23</v>
      </c>
      <c r="C368" s="40" t="s">
        <v>79</v>
      </c>
      <c r="D368" s="26"/>
      <c r="E368" s="26"/>
      <c r="F368" s="49">
        <f t="shared" si="18"/>
        <v>0</v>
      </c>
      <c r="G368" s="84">
        <f t="shared" si="19"/>
        <v>775954.24</v>
      </c>
      <c r="H368" s="81"/>
      <c r="I368" s="44"/>
      <c r="J368" s="44"/>
    </row>
    <row r="369" spans="1:10" s="3" customFormat="1" ht="14.4" hidden="1" x14ac:dyDescent="0.3">
      <c r="B369" s="42">
        <v>24</v>
      </c>
      <c r="C369" s="40" t="s">
        <v>80</v>
      </c>
      <c r="D369" s="26"/>
      <c r="E369" s="26"/>
      <c r="F369" s="49">
        <f t="shared" si="18"/>
        <v>0</v>
      </c>
      <c r="G369" s="84">
        <f t="shared" si="19"/>
        <v>775954.24</v>
      </c>
      <c r="H369" s="81"/>
      <c r="I369" s="44"/>
      <c r="J369" s="44"/>
    </row>
    <row r="370" spans="1:10" s="3" customFormat="1" ht="14.4" hidden="1" x14ac:dyDescent="0.3">
      <c r="B370" s="42">
        <v>25</v>
      </c>
      <c r="C370" s="87" t="s">
        <v>81</v>
      </c>
      <c r="D370" s="26"/>
      <c r="E370" s="26"/>
      <c r="F370" s="49">
        <f t="shared" si="18"/>
        <v>0</v>
      </c>
      <c r="G370" s="84">
        <f t="shared" si="19"/>
        <v>775954.24</v>
      </c>
      <c r="H370" s="81"/>
      <c r="I370" s="44"/>
      <c r="J370" s="44"/>
    </row>
    <row r="371" spans="1:10" s="3" customFormat="1" ht="14.4" hidden="1" x14ac:dyDescent="0.3">
      <c r="B371" s="42">
        <v>26</v>
      </c>
      <c r="C371" s="87" t="s">
        <v>82</v>
      </c>
      <c r="D371" s="33"/>
      <c r="E371" s="33"/>
      <c r="F371" s="66">
        <f t="shared" si="18"/>
        <v>0</v>
      </c>
      <c r="G371" s="88">
        <f t="shared" si="19"/>
        <v>775954.24</v>
      </c>
      <c r="H371" s="81"/>
      <c r="I371" s="44"/>
      <c r="J371" s="44"/>
    </row>
    <row r="372" spans="1:10" ht="14.4" x14ac:dyDescent="0.3">
      <c r="A372" s="3"/>
      <c r="B372" s="5" t="s">
        <v>57</v>
      </c>
      <c r="C372" s="89" t="s">
        <v>57</v>
      </c>
      <c r="D372" s="90" t="s">
        <v>57</v>
      </c>
      <c r="E372" s="90" t="s">
        <v>57</v>
      </c>
      <c r="F372" s="90" t="s">
        <v>57</v>
      </c>
      <c r="G372" s="90" t="s">
        <v>57</v>
      </c>
      <c r="H372" s="6" t="s">
        <v>57</v>
      </c>
      <c r="I372" s="3"/>
    </row>
    <row r="373" spans="1:10" ht="14.4" x14ac:dyDescent="0.3">
      <c r="A373" s="3"/>
      <c r="B373" s="8" t="s">
        <v>39</v>
      </c>
      <c r="C373" s="91"/>
      <c r="D373" s="90" t="s">
        <v>57</v>
      </c>
      <c r="E373" s="90" t="s">
        <v>57</v>
      </c>
      <c r="F373" s="90" t="s">
        <v>57</v>
      </c>
      <c r="G373" s="90" t="s">
        <v>57</v>
      </c>
      <c r="H373" s="6" t="s">
        <v>57</v>
      </c>
      <c r="I373" s="3"/>
    </row>
    <row r="374" spans="1:10" ht="14.4" x14ac:dyDescent="0.3">
      <c r="A374" s="3"/>
      <c r="B374" s="9" t="s">
        <v>40</v>
      </c>
      <c r="C374" s="5"/>
      <c r="D374" s="6"/>
      <c r="E374" s="6"/>
      <c r="F374" s="92"/>
      <c r="G374" s="92"/>
      <c r="H374" s="93"/>
      <c r="I374" s="3"/>
    </row>
    <row r="375" spans="1:10" ht="14.4" x14ac:dyDescent="0.3">
      <c r="A375" s="3"/>
      <c r="B375" s="9" t="s">
        <v>41</v>
      </c>
      <c r="C375" s="5"/>
      <c r="D375" s="6"/>
      <c r="E375" s="6"/>
      <c r="F375" s="92"/>
      <c r="G375" s="90" t="s">
        <v>57</v>
      </c>
      <c r="H375" s="6" t="s">
        <v>57</v>
      </c>
      <c r="I375" s="3"/>
    </row>
    <row r="376" spans="1:10" ht="14.4" x14ac:dyDescent="0.3">
      <c r="A376" s="3"/>
      <c r="B376" s="9" t="s">
        <v>42</v>
      </c>
      <c r="C376" s="5"/>
      <c r="D376" s="6"/>
      <c r="E376" s="6"/>
      <c r="F376" s="90" t="s">
        <v>57</v>
      </c>
      <c r="G376" s="90" t="s">
        <v>57</v>
      </c>
      <c r="H376" s="6" t="s">
        <v>57</v>
      </c>
      <c r="I376" s="3"/>
    </row>
    <row r="377" spans="1:10" ht="14.4" x14ac:dyDescent="0.3">
      <c r="A377" s="3"/>
      <c r="B377" s="10"/>
      <c r="C377" s="94"/>
      <c r="D377" s="96"/>
      <c r="E377" s="96"/>
      <c r="F377" s="96"/>
      <c r="G377" s="96"/>
      <c r="H377" s="44"/>
      <c r="I377" s="3"/>
    </row>
    <row r="378" spans="1:10" ht="14.4" x14ac:dyDescent="0.3">
      <c r="A378" s="3"/>
      <c r="B378" s="10"/>
      <c r="C378" s="94"/>
      <c r="D378" s="96"/>
      <c r="E378" s="96"/>
      <c r="F378" s="96"/>
      <c r="G378" s="96"/>
      <c r="H378" s="44"/>
      <c r="I378" s="3"/>
    </row>
    <row r="379" spans="1:10" ht="18" x14ac:dyDescent="0.35">
      <c r="A379" s="3"/>
      <c r="C379" s="94"/>
      <c r="D379" s="183" t="s">
        <v>45</v>
      </c>
      <c r="E379" s="183"/>
      <c r="F379" s="183"/>
      <c r="G379" s="183"/>
      <c r="H379" s="183"/>
      <c r="I379" s="3"/>
    </row>
    <row r="380" spans="1:10" ht="15.6" x14ac:dyDescent="0.3">
      <c r="A380" s="37"/>
      <c r="B380" s="27" t="s">
        <v>57</v>
      </c>
      <c r="C380" s="95" t="s">
        <v>57</v>
      </c>
      <c r="D380" s="184" t="s">
        <v>62</v>
      </c>
      <c r="E380" s="184"/>
      <c r="F380" s="184"/>
      <c r="G380" s="184"/>
      <c r="H380" s="184"/>
      <c r="I380" s="37"/>
    </row>
    <row r="381" spans="1:10" ht="15.9" customHeight="1" x14ac:dyDescent="0.3">
      <c r="A381" s="3"/>
      <c r="B381" s="128" t="s">
        <v>84</v>
      </c>
      <c r="C381" s="128"/>
      <c r="D381" s="128"/>
      <c r="E381" s="128"/>
      <c r="F381" s="128"/>
      <c r="G381" s="128"/>
      <c r="H381" s="128"/>
      <c r="I381" s="3"/>
    </row>
    <row r="382" spans="1:10" ht="14.4" x14ac:dyDescent="0.3">
      <c r="A382" s="3"/>
      <c r="B382" s="15"/>
      <c r="C382" s="16"/>
      <c r="D382" s="118" t="s">
        <v>6</v>
      </c>
      <c r="E382" s="118"/>
      <c r="F382" s="118"/>
      <c r="G382" s="118"/>
      <c r="H382" s="181" t="s">
        <v>57</v>
      </c>
      <c r="I382" s="3"/>
    </row>
    <row r="383" spans="1:10" ht="14.4" x14ac:dyDescent="0.3">
      <c r="A383" s="3"/>
      <c r="B383" s="13"/>
      <c r="C383" s="14"/>
      <c r="D383" s="125" t="s">
        <v>9</v>
      </c>
      <c r="E383" s="125"/>
      <c r="F383" s="125"/>
      <c r="G383" s="125"/>
      <c r="H383" s="181"/>
      <c r="I383" s="3"/>
    </row>
    <row r="384" spans="1:10" ht="14.4" x14ac:dyDescent="0.3">
      <c r="A384" s="3"/>
      <c r="B384" s="132" t="s">
        <v>10</v>
      </c>
      <c r="C384" s="134" t="s">
        <v>11</v>
      </c>
      <c r="D384" s="62" t="s">
        <v>12</v>
      </c>
      <c r="E384" s="62" t="s">
        <v>13</v>
      </c>
      <c r="F384" s="62" t="s">
        <v>14</v>
      </c>
      <c r="G384" s="76" t="s">
        <v>15</v>
      </c>
      <c r="H384" s="176" t="s">
        <v>57</v>
      </c>
      <c r="I384" s="3"/>
    </row>
    <row r="385" spans="1:11" ht="14.4" x14ac:dyDescent="0.3">
      <c r="A385" s="3"/>
      <c r="B385" s="132"/>
      <c r="C385" s="134"/>
      <c r="D385" s="145" t="s">
        <v>20</v>
      </c>
      <c r="E385" s="145"/>
      <c r="F385" s="145"/>
      <c r="G385" s="145"/>
      <c r="H385" s="176"/>
      <c r="I385" s="3"/>
    </row>
    <row r="386" spans="1:11" ht="14.4" x14ac:dyDescent="0.3">
      <c r="A386" s="3"/>
      <c r="B386" s="42">
        <v>4</v>
      </c>
      <c r="C386" s="77" t="s">
        <v>21</v>
      </c>
      <c r="D386" s="26">
        <v>0</v>
      </c>
      <c r="E386" s="26">
        <v>0</v>
      </c>
      <c r="F386" s="26">
        <v>0</v>
      </c>
      <c r="G386" s="26">
        <v>0</v>
      </c>
      <c r="H386" s="81" t="s">
        <v>57</v>
      </c>
      <c r="I386" s="3"/>
    </row>
    <row r="387" spans="1:11" ht="14.4" x14ac:dyDescent="0.3">
      <c r="A387" s="3"/>
      <c r="B387" s="82">
        <v>5</v>
      </c>
      <c r="C387" s="83" t="s">
        <v>22</v>
      </c>
      <c r="D387" s="78">
        <v>174590.58</v>
      </c>
      <c r="E387" s="26">
        <v>0</v>
      </c>
      <c r="F387" s="79">
        <f>+E387+D387</f>
        <v>174590.58</v>
      </c>
      <c r="G387" s="80">
        <f>+F387</f>
        <v>174590.58</v>
      </c>
      <c r="H387" s="81" t="s">
        <v>57</v>
      </c>
      <c r="I387" s="3"/>
    </row>
    <row r="388" spans="1:11" ht="14.4" x14ac:dyDescent="0.3">
      <c r="A388" s="3"/>
      <c r="B388" s="82">
        <v>6</v>
      </c>
      <c r="C388" s="83" t="s">
        <v>23</v>
      </c>
      <c r="D388" s="78">
        <v>47440.58</v>
      </c>
      <c r="E388" s="26">
        <v>0</v>
      </c>
      <c r="F388" s="79">
        <f>+E388+D388</f>
        <v>47440.58</v>
      </c>
      <c r="G388" s="80">
        <f>+G387+F388</f>
        <v>222031.15999999997</v>
      </c>
      <c r="H388" s="81" t="s">
        <v>57</v>
      </c>
      <c r="I388" s="3"/>
    </row>
    <row r="389" spans="1:11" ht="14.4" x14ac:dyDescent="0.3">
      <c r="A389" s="3"/>
      <c r="B389" s="82">
        <v>7</v>
      </c>
      <c r="C389" s="83" t="s">
        <v>24</v>
      </c>
      <c r="D389" s="78">
        <v>50859.1</v>
      </c>
      <c r="E389" s="26">
        <v>0</v>
      </c>
      <c r="F389" s="79">
        <f>+E389+D389</f>
        <v>50859.1</v>
      </c>
      <c r="G389" s="80">
        <f>+G388+F389</f>
        <v>272890.25999999995</v>
      </c>
      <c r="H389" s="81" t="s">
        <v>57</v>
      </c>
      <c r="I389" s="3"/>
    </row>
    <row r="390" spans="1:11" ht="14.4" x14ac:dyDescent="0.3">
      <c r="A390" s="3"/>
      <c r="B390" s="42">
        <v>8</v>
      </c>
      <c r="C390" s="40" t="s">
        <v>25</v>
      </c>
      <c r="D390" s="26">
        <v>2954</v>
      </c>
      <c r="E390" s="26">
        <v>0</v>
      </c>
      <c r="F390" s="79">
        <f>+E390+D390</f>
        <v>2954</v>
      </c>
      <c r="G390" s="80">
        <f>+G389+F390</f>
        <v>275844.25999999995</v>
      </c>
      <c r="H390" s="81"/>
      <c r="I390" s="10"/>
      <c r="J390" s="3"/>
      <c r="K390" s="3"/>
    </row>
    <row r="391" spans="1:11" s="3" customFormat="1" ht="14.4" x14ac:dyDescent="0.3">
      <c r="B391" s="42">
        <v>9</v>
      </c>
      <c r="C391" s="40" t="s">
        <v>26</v>
      </c>
      <c r="D391" s="26">
        <v>58657.59</v>
      </c>
      <c r="E391" s="26">
        <v>0</v>
      </c>
      <c r="F391" s="49">
        <f t="shared" ref="F391:F408" si="20">+E391+D391</f>
        <v>58657.59</v>
      </c>
      <c r="G391" s="84">
        <f t="shared" ref="G391:G408" si="21">+G390+F391</f>
        <v>334501.84999999998</v>
      </c>
      <c r="H391" s="81"/>
      <c r="I391" s="44"/>
      <c r="J391" s="44"/>
    </row>
    <row r="392" spans="1:11" s="3" customFormat="1" ht="14.4" x14ac:dyDescent="0.3">
      <c r="B392" s="42">
        <v>10</v>
      </c>
      <c r="C392" s="40" t="s">
        <v>67</v>
      </c>
      <c r="D392" s="26">
        <v>14518.54</v>
      </c>
      <c r="E392" s="26">
        <v>0</v>
      </c>
      <c r="F392" s="49">
        <f t="shared" si="20"/>
        <v>14518.54</v>
      </c>
      <c r="G392" s="84">
        <f t="shared" si="21"/>
        <v>349020.38999999996</v>
      </c>
      <c r="H392" s="81"/>
      <c r="I392" s="44"/>
      <c r="J392" s="44"/>
    </row>
    <row r="393" spans="1:11" s="3" customFormat="1" ht="14.4" x14ac:dyDescent="0.3">
      <c r="B393" s="42">
        <v>11</v>
      </c>
      <c r="C393" s="40" t="s">
        <v>68</v>
      </c>
      <c r="D393" s="26">
        <v>16435.509999999998</v>
      </c>
      <c r="E393" s="26">
        <v>0</v>
      </c>
      <c r="F393" s="49">
        <f t="shared" si="20"/>
        <v>16435.509999999998</v>
      </c>
      <c r="G393" s="84">
        <f t="shared" si="21"/>
        <v>365455.89999999997</v>
      </c>
      <c r="H393" s="81"/>
      <c r="I393" s="44"/>
      <c r="J393" s="44"/>
    </row>
    <row r="394" spans="1:11" s="3" customFormat="1" ht="14.4" x14ac:dyDescent="0.3">
      <c r="B394" s="42">
        <v>12</v>
      </c>
      <c r="C394" s="40" t="s">
        <v>83</v>
      </c>
      <c r="D394" s="26">
        <v>53900.05</v>
      </c>
      <c r="E394" s="26">
        <v>0</v>
      </c>
      <c r="F394" s="49">
        <f t="shared" si="20"/>
        <v>53900.05</v>
      </c>
      <c r="G394" s="84">
        <f t="shared" si="21"/>
        <v>419355.94999999995</v>
      </c>
      <c r="H394" s="81"/>
      <c r="I394" s="44"/>
      <c r="J394" s="44"/>
    </row>
    <row r="395" spans="1:11" s="3" customFormat="1" ht="14.4" x14ac:dyDescent="0.3">
      <c r="B395" s="42">
        <v>13</v>
      </c>
      <c r="C395" s="40" t="s">
        <v>69</v>
      </c>
      <c r="D395" s="26">
        <v>50930.55</v>
      </c>
      <c r="E395" s="26">
        <v>0</v>
      </c>
      <c r="F395" s="49">
        <f t="shared" si="20"/>
        <v>50930.55</v>
      </c>
      <c r="G395" s="84">
        <f t="shared" si="21"/>
        <v>470286.49999999994</v>
      </c>
      <c r="H395" s="81"/>
      <c r="I395" s="44"/>
      <c r="J395" s="44"/>
    </row>
    <row r="396" spans="1:11" s="3" customFormat="1" ht="15.6" customHeight="1" x14ac:dyDescent="0.3">
      <c r="B396" s="42">
        <v>14</v>
      </c>
      <c r="C396" s="86" t="s">
        <v>70</v>
      </c>
      <c r="D396" s="26">
        <v>5113.51</v>
      </c>
      <c r="E396" s="26">
        <v>0</v>
      </c>
      <c r="F396" s="49">
        <f t="shared" si="20"/>
        <v>5113.51</v>
      </c>
      <c r="G396" s="84">
        <f t="shared" si="21"/>
        <v>475400.00999999995</v>
      </c>
      <c r="H396" s="81"/>
      <c r="I396" s="44"/>
      <c r="J396" s="44"/>
    </row>
    <row r="397" spans="1:11" s="3" customFormat="1" ht="14.4" hidden="1" x14ac:dyDescent="0.3">
      <c r="B397" s="42">
        <v>15</v>
      </c>
      <c r="C397" s="40" t="s">
        <v>71</v>
      </c>
      <c r="D397" s="26"/>
      <c r="E397" s="26"/>
      <c r="F397" s="49">
        <f t="shared" si="20"/>
        <v>0</v>
      </c>
      <c r="G397" s="84">
        <f t="shared" si="21"/>
        <v>475400.00999999995</v>
      </c>
      <c r="H397" s="81"/>
      <c r="I397" s="44"/>
      <c r="J397" s="44"/>
    </row>
    <row r="398" spans="1:11" s="3" customFormat="1" ht="14.4" hidden="1" x14ac:dyDescent="0.3">
      <c r="B398" s="42">
        <v>16</v>
      </c>
      <c r="C398" s="40" t="s">
        <v>72</v>
      </c>
      <c r="D398" s="26"/>
      <c r="E398" s="26"/>
      <c r="F398" s="49">
        <f t="shared" si="20"/>
        <v>0</v>
      </c>
      <c r="G398" s="84">
        <f t="shared" si="21"/>
        <v>475400.00999999995</v>
      </c>
      <c r="H398" s="81"/>
      <c r="I398" s="44"/>
      <c r="J398" s="44"/>
    </row>
    <row r="399" spans="1:11" s="3" customFormat="1" ht="14.4" hidden="1" x14ac:dyDescent="0.3">
      <c r="B399" s="42">
        <v>17</v>
      </c>
      <c r="C399" s="40" t="s">
        <v>73</v>
      </c>
      <c r="D399" s="26"/>
      <c r="E399" s="26"/>
      <c r="F399" s="49">
        <f t="shared" si="20"/>
        <v>0</v>
      </c>
      <c r="G399" s="84">
        <f t="shared" si="21"/>
        <v>475400.00999999995</v>
      </c>
      <c r="H399" s="81"/>
      <c r="I399" s="44"/>
      <c r="J399" s="44"/>
    </row>
    <row r="400" spans="1:11" s="3" customFormat="1" ht="14.4" hidden="1" x14ac:dyDescent="0.3">
      <c r="B400" s="42">
        <v>18</v>
      </c>
      <c r="C400" s="40" t="s">
        <v>74</v>
      </c>
      <c r="D400" s="26"/>
      <c r="E400" s="26"/>
      <c r="F400" s="49">
        <f t="shared" si="20"/>
        <v>0</v>
      </c>
      <c r="G400" s="84">
        <f t="shared" si="21"/>
        <v>475400.00999999995</v>
      </c>
      <c r="H400" s="81"/>
      <c r="I400" s="44"/>
      <c r="J400" s="44"/>
    </row>
    <row r="401" spans="1:10" s="3" customFormat="1" ht="14.4" hidden="1" x14ac:dyDescent="0.3">
      <c r="B401" s="42">
        <v>19</v>
      </c>
      <c r="C401" s="40" t="s">
        <v>75</v>
      </c>
      <c r="D401" s="26"/>
      <c r="E401" s="26"/>
      <c r="F401" s="49">
        <f t="shared" si="20"/>
        <v>0</v>
      </c>
      <c r="G401" s="84">
        <f t="shared" si="21"/>
        <v>475400.00999999995</v>
      </c>
      <c r="H401" s="81"/>
      <c r="I401" s="44"/>
      <c r="J401" s="44"/>
    </row>
    <row r="402" spans="1:10" s="3" customFormat="1" ht="14.4" hidden="1" x14ac:dyDescent="0.3">
      <c r="B402" s="42">
        <v>20</v>
      </c>
      <c r="C402" s="40" t="s">
        <v>76</v>
      </c>
      <c r="D402" s="26"/>
      <c r="E402" s="26"/>
      <c r="F402" s="49">
        <f t="shared" si="20"/>
        <v>0</v>
      </c>
      <c r="G402" s="84">
        <f t="shared" si="21"/>
        <v>475400.00999999995</v>
      </c>
      <c r="H402" s="81"/>
      <c r="I402" s="44"/>
      <c r="J402" s="44"/>
    </row>
    <row r="403" spans="1:10" s="3" customFormat="1" ht="14.4" hidden="1" x14ac:dyDescent="0.3">
      <c r="B403" s="42">
        <v>21</v>
      </c>
      <c r="C403" s="40" t="s">
        <v>77</v>
      </c>
      <c r="D403" s="26"/>
      <c r="E403" s="26"/>
      <c r="F403" s="49">
        <f t="shared" si="20"/>
        <v>0</v>
      </c>
      <c r="G403" s="84">
        <f t="shared" si="21"/>
        <v>475400.00999999995</v>
      </c>
      <c r="H403" s="81"/>
      <c r="I403" s="44"/>
      <c r="J403" s="44"/>
    </row>
    <row r="404" spans="1:10" s="3" customFormat="1" ht="14.4" hidden="1" x14ac:dyDescent="0.3">
      <c r="B404" s="42">
        <v>22</v>
      </c>
      <c r="C404" s="40" t="s">
        <v>78</v>
      </c>
      <c r="D404" s="26"/>
      <c r="E404" s="26"/>
      <c r="F404" s="49">
        <f t="shared" si="20"/>
        <v>0</v>
      </c>
      <c r="G404" s="84">
        <f t="shared" si="21"/>
        <v>475400.00999999995</v>
      </c>
      <c r="H404" s="81"/>
      <c r="I404" s="44"/>
      <c r="J404" s="44"/>
    </row>
    <row r="405" spans="1:10" s="3" customFormat="1" ht="14.4" hidden="1" x14ac:dyDescent="0.3">
      <c r="B405" s="42">
        <v>23</v>
      </c>
      <c r="C405" s="40" t="s">
        <v>79</v>
      </c>
      <c r="D405" s="26"/>
      <c r="E405" s="26"/>
      <c r="F405" s="49">
        <f t="shared" si="20"/>
        <v>0</v>
      </c>
      <c r="G405" s="84">
        <f t="shared" si="21"/>
        <v>475400.00999999995</v>
      </c>
      <c r="H405" s="81"/>
      <c r="I405" s="44"/>
      <c r="J405" s="44"/>
    </row>
    <row r="406" spans="1:10" s="3" customFormat="1" ht="14.4" hidden="1" x14ac:dyDescent="0.3">
      <c r="B406" s="42">
        <v>24</v>
      </c>
      <c r="C406" s="40" t="s">
        <v>80</v>
      </c>
      <c r="D406" s="26"/>
      <c r="E406" s="26"/>
      <c r="F406" s="49">
        <f t="shared" si="20"/>
        <v>0</v>
      </c>
      <c r="G406" s="84">
        <f t="shared" si="21"/>
        <v>475400.00999999995</v>
      </c>
      <c r="H406" s="81"/>
      <c r="I406" s="44"/>
      <c r="J406" s="44"/>
    </row>
    <row r="407" spans="1:10" s="3" customFormat="1" ht="14.4" hidden="1" x14ac:dyDescent="0.3">
      <c r="B407" s="42">
        <v>25</v>
      </c>
      <c r="C407" s="87" t="s">
        <v>81</v>
      </c>
      <c r="D407" s="26"/>
      <c r="E407" s="26"/>
      <c r="F407" s="49">
        <f t="shared" si="20"/>
        <v>0</v>
      </c>
      <c r="G407" s="84">
        <f t="shared" si="21"/>
        <v>475400.00999999995</v>
      </c>
      <c r="H407" s="81"/>
      <c r="I407" s="44"/>
      <c r="J407" s="44"/>
    </row>
    <row r="408" spans="1:10" s="3" customFormat="1" ht="14.4" hidden="1" x14ac:dyDescent="0.3">
      <c r="B408" s="42">
        <v>26</v>
      </c>
      <c r="C408" s="87" t="s">
        <v>82</v>
      </c>
      <c r="D408" s="33"/>
      <c r="E408" s="33"/>
      <c r="F408" s="66">
        <f t="shared" si="20"/>
        <v>0</v>
      </c>
      <c r="G408" s="88">
        <f t="shared" si="21"/>
        <v>475400.00999999995</v>
      </c>
      <c r="H408" s="81"/>
      <c r="I408" s="44"/>
      <c r="J408" s="44"/>
    </row>
    <row r="409" spans="1:10" ht="14.4" x14ac:dyDescent="0.3">
      <c r="A409" s="3"/>
      <c r="B409" s="5" t="s">
        <v>57</v>
      </c>
      <c r="C409" s="89" t="s">
        <v>57</v>
      </c>
      <c r="D409" s="90" t="s">
        <v>57</v>
      </c>
      <c r="E409" s="90" t="s">
        <v>57</v>
      </c>
      <c r="F409" s="90" t="s">
        <v>57</v>
      </c>
      <c r="G409" s="90" t="s">
        <v>57</v>
      </c>
      <c r="H409" s="6" t="s">
        <v>57</v>
      </c>
      <c r="I409" s="3"/>
    </row>
    <row r="410" spans="1:10" ht="14.4" x14ac:dyDescent="0.3">
      <c r="A410" s="3"/>
      <c r="B410" s="8" t="s">
        <v>39</v>
      </c>
      <c r="C410" s="91"/>
      <c r="D410" s="90" t="s">
        <v>57</v>
      </c>
      <c r="E410" s="90" t="s">
        <v>57</v>
      </c>
      <c r="F410" s="90" t="s">
        <v>57</v>
      </c>
      <c r="G410" s="90" t="s">
        <v>57</v>
      </c>
      <c r="H410" s="6" t="s">
        <v>57</v>
      </c>
      <c r="I410" s="3"/>
    </row>
    <row r="411" spans="1:10" ht="14.4" x14ac:dyDescent="0.3">
      <c r="A411" s="3"/>
      <c r="B411" s="9" t="s">
        <v>40</v>
      </c>
      <c r="C411" s="5"/>
      <c r="D411" s="6"/>
      <c r="E411" s="6"/>
      <c r="F411" s="92"/>
      <c r="G411" s="92"/>
      <c r="H411" s="93"/>
      <c r="I411" s="3"/>
    </row>
    <row r="412" spans="1:10" ht="14.4" x14ac:dyDescent="0.3">
      <c r="A412" s="3"/>
      <c r="B412" s="9" t="s">
        <v>41</v>
      </c>
      <c r="C412" s="5"/>
      <c r="D412" s="6"/>
      <c r="E412" s="6"/>
      <c r="F412" s="92"/>
      <c r="G412" s="90" t="s">
        <v>57</v>
      </c>
      <c r="H412" s="6" t="s">
        <v>57</v>
      </c>
      <c r="I412" s="3"/>
    </row>
    <row r="413" spans="1:10" ht="14.4" x14ac:dyDescent="0.3">
      <c r="A413" s="3"/>
      <c r="B413" s="9" t="s">
        <v>42</v>
      </c>
      <c r="C413" s="5"/>
      <c r="D413" s="6"/>
      <c r="E413" s="6"/>
      <c r="F413" s="90" t="s">
        <v>57</v>
      </c>
      <c r="G413" s="90" t="s">
        <v>57</v>
      </c>
      <c r="H413" s="6" t="s">
        <v>57</v>
      </c>
      <c r="I413" s="3"/>
    </row>
    <row r="414" spans="1:10" ht="14.4" x14ac:dyDescent="0.3">
      <c r="A414" s="3"/>
      <c r="B414" s="3"/>
      <c r="C414" s="73"/>
      <c r="D414" s="74"/>
      <c r="E414" s="74"/>
      <c r="F414" s="74"/>
      <c r="G414" s="74"/>
      <c r="H414" s="41"/>
      <c r="I414" s="3"/>
    </row>
    <row r="415" spans="1:10" ht="14.4" x14ac:dyDescent="0.3">
      <c r="A415" s="3"/>
      <c r="B415" s="3"/>
      <c r="C415" s="73"/>
      <c r="D415" s="74"/>
      <c r="E415" s="74"/>
      <c r="F415" s="74"/>
      <c r="G415" s="74"/>
      <c r="H415" s="41"/>
      <c r="I415" s="3"/>
    </row>
    <row r="416" spans="1:10" ht="18" x14ac:dyDescent="0.35">
      <c r="A416" s="3"/>
      <c r="C416" s="94"/>
      <c r="D416" s="178" t="s">
        <v>46</v>
      </c>
      <c r="E416" s="178"/>
      <c r="F416" s="178"/>
      <c r="G416" s="178"/>
      <c r="H416" s="178"/>
      <c r="I416" s="3"/>
    </row>
    <row r="417" spans="1:11" ht="15.6" x14ac:dyDescent="0.3">
      <c r="A417" s="37"/>
      <c r="B417" s="27" t="s">
        <v>57</v>
      </c>
      <c r="C417" s="95" t="s">
        <v>57</v>
      </c>
      <c r="D417" s="179" t="s">
        <v>62</v>
      </c>
      <c r="E417" s="179"/>
      <c r="F417" s="179"/>
      <c r="G417" s="179"/>
      <c r="H417" s="179"/>
      <c r="I417" s="37"/>
    </row>
    <row r="418" spans="1:11" ht="15.9" customHeight="1" x14ac:dyDescent="0.3">
      <c r="A418" s="3"/>
      <c r="B418" s="128" t="s">
        <v>84</v>
      </c>
      <c r="C418" s="128"/>
      <c r="D418" s="128"/>
      <c r="E418" s="128"/>
      <c r="F418" s="128"/>
      <c r="G418" s="128"/>
      <c r="H418" s="128"/>
      <c r="I418" s="3"/>
    </row>
    <row r="419" spans="1:11" ht="14.4" x14ac:dyDescent="0.3">
      <c r="A419" s="3"/>
      <c r="B419" s="15"/>
      <c r="C419" s="16"/>
      <c r="D419" s="118" t="s">
        <v>6</v>
      </c>
      <c r="E419" s="118"/>
      <c r="F419" s="118"/>
      <c r="G419" s="118"/>
      <c r="H419" s="181" t="s">
        <v>57</v>
      </c>
      <c r="I419" s="3"/>
    </row>
    <row r="420" spans="1:11" ht="14.4" x14ac:dyDescent="0.3">
      <c r="A420" s="3"/>
      <c r="B420" s="13"/>
      <c r="C420" s="14"/>
      <c r="D420" s="125" t="s">
        <v>9</v>
      </c>
      <c r="E420" s="125"/>
      <c r="F420" s="125"/>
      <c r="G420" s="125"/>
      <c r="H420" s="181"/>
      <c r="I420" s="3"/>
    </row>
    <row r="421" spans="1:11" ht="14.4" x14ac:dyDescent="0.3">
      <c r="A421" s="3"/>
      <c r="B421" s="132" t="s">
        <v>10</v>
      </c>
      <c r="C421" s="134" t="s">
        <v>11</v>
      </c>
      <c r="D421" s="62" t="s">
        <v>12</v>
      </c>
      <c r="E421" s="62" t="s">
        <v>13</v>
      </c>
      <c r="F421" s="62" t="s">
        <v>14</v>
      </c>
      <c r="G421" s="76" t="s">
        <v>15</v>
      </c>
      <c r="H421" s="176" t="s">
        <v>57</v>
      </c>
      <c r="I421" s="3"/>
    </row>
    <row r="422" spans="1:11" ht="14.4" x14ac:dyDescent="0.3">
      <c r="A422" s="3"/>
      <c r="B422" s="132"/>
      <c r="C422" s="134"/>
      <c r="D422" s="145" t="s">
        <v>20</v>
      </c>
      <c r="E422" s="145"/>
      <c r="F422" s="145"/>
      <c r="G422" s="145"/>
      <c r="H422" s="176"/>
      <c r="I422" s="3"/>
    </row>
    <row r="423" spans="1:11" ht="14.4" x14ac:dyDescent="0.3">
      <c r="A423" s="3"/>
      <c r="B423" s="42">
        <v>4</v>
      </c>
      <c r="C423" s="77" t="s">
        <v>21</v>
      </c>
      <c r="D423" s="78">
        <v>38139</v>
      </c>
      <c r="E423" s="26">
        <v>0</v>
      </c>
      <c r="F423" s="79">
        <f>+E423+D423</f>
        <v>38139</v>
      </c>
      <c r="G423" s="80">
        <f>+F423</f>
        <v>38139</v>
      </c>
      <c r="H423" s="81" t="s">
        <v>57</v>
      </c>
      <c r="I423" s="3"/>
    </row>
    <row r="424" spans="1:11" ht="14.4" x14ac:dyDescent="0.3">
      <c r="A424" s="3"/>
      <c r="B424" s="82">
        <v>5</v>
      </c>
      <c r="C424" s="83" t="s">
        <v>22</v>
      </c>
      <c r="D424" s="78">
        <v>27658.04</v>
      </c>
      <c r="E424" s="26">
        <v>0</v>
      </c>
      <c r="F424" s="79">
        <f>+E424+D424</f>
        <v>27658.04</v>
      </c>
      <c r="G424" s="80">
        <f>+G423+F424</f>
        <v>65797.040000000008</v>
      </c>
      <c r="H424" s="81" t="s">
        <v>57</v>
      </c>
      <c r="I424" s="3"/>
    </row>
    <row r="425" spans="1:11" ht="14.4" x14ac:dyDescent="0.3">
      <c r="A425" s="3"/>
      <c r="B425" s="82">
        <v>6</v>
      </c>
      <c r="C425" s="83" t="s">
        <v>23</v>
      </c>
      <c r="D425" s="78">
        <v>25678.6</v>
      </c>
      <c r="E425" s="26">
        <v>0</v>
      </c>
      <c r="F425" s="79">
        <f>+E425+D425</f>
        <v>25678.6</v>
      </c>
      <c r="G425" s="80">
        <f>+G424+F425</f>
        <v>91475.640000000014</v>
      </c>
      <c r="H425" s="81" t="s">
        <v>57</v>
      </c>
      <c r="I425" s="3"/>
    </row>
    <row r="426" spans="1:11" ht="14.4" x14ac:dyDescent="0.3">
      <c r="A426" s="3"/>
      <c r="B426" s="82">
        <v>7</v>
      </c>
      <c r="C426" s="83" t="s">
        <v>24</v>
      </c>
      <c r="D426" s="78">
        <v>15368.53</v>
      </c>
      <c r="E426" s="26">
        <v>0</v>
      </c>
      <c r="F426" s="79">
        <f>+E426+D426</f>
        <v>15368.53</v>
      </c>
      <c r="G426" s="80">
        <f>+G425+F426</f>
        <v>106844.17000000001</v>
      </c>
      <c r="H426" s="81" t="s">
        <v>57</v>
      </c>
      <c r="I426" s="3"/>
    </row>
    <row r="427" spans="1:11" ht="14.4" x14ac:dyDescent="0.3">
      <c r="A427" s="3"/>
      <c r="B427" s="42">
        <v>8</v>
      </c>
      <c r="C427" s="40" t="s">
        <v>25</v>
      </c>
      <c r="D427" s="26">
        <v>59791.67</v>
      </c>
      <c r="E427" s="26">
        <v>0</v>
      </c>
      <c r="F427" s="79">
        <f>+E427+D427</f>
        <v>59791.67</v>
      </c>
      <c r="G427" s="80">
        <f>+G426+F427</f>
        <v>166635.84000000003</v>
      </c>
      <c r="H427" s="81"/>
      <c r="I427" s="10"/>
      <c r="J427" s="3"/>
      <c r="K427" s="3"/>
    </row>
    <row r="428" spans="1:11" s="3" customFormat="1" ht="14.4" x14ac:dyDescent="0.3">
      <c r="B428" s="42">
        <v>9</v>
      </c>
      <c r="C428" s="40" t="s">
        <v>26</v>
      </c>
      <c r="D428" s="26">
        <v>63372.02</v>
      </c>
      <c r="E428" s="26">
        <v>0</v>
      </c>
      <c r="F428" s="49">
        <f t="shared" ref="F428:F445" si="22">+E428+D428</f>
        <v>63372.02</v>
      </c>
      <c r="G428" s="84">
        <f t="shared" ref="G428:G445" si="23">+G427+F428</f>
        <v>230007.86000000002</v>
      </c>
      <c r="H428" s="81"/>
      <c r="I428" s="44"/>
      <c r="J428" s="44"/>
    </row>
    <row r="429" spans="1:11" s="3" customFormat="1" ht="14.4" x14ac:dyDescent="0.3">
      <c r="B429" s="42">
        <v>10</v>
      </c>
      <c r="C429" s="40" t="s">
        <v>67</v>
      </c>
      <c r="D429" s="26">
        <v>24952.55</v>
      </c>
      <c r="E429" s="26">
        <v>0</v>
      </c>
      <c r="F429" s="49">
        <f t="shared" si="22"/>
        <v>24952.55</v>
      </c>
      <c r="G429" s="84">
        <f t="shared" si="23"/>
        <v>254960.41</v>
      </c>
      <c r="H429" s="81"/>
      <c r="I429" s="44"/>
      <c r="J429" s="44"/>
    </row>
    <row r="430" spans="1:11" s="3" customFormat="1" ht="14.4" x14ac:dyDescent="0.3">
      <c r="B430" s="42">
        <v>11</v>
      </c>
      <c r="C430" s="40" t="s">
        <v>68</v>
      </c>
      <c r="D430" s="26">
        <v>37250.04</v>
      </c>
      <c r="E430" s="26">
        <v>0</v>
      </c>
      <c r="F430" s="49">
        <f t="shared" si="22"/>
        <v>37250.04</v>
      </c>
      <c r="G430" s="84">
        <f>+G429+F430</f>
        <v>292210.45</v>
      </c>
      <c r="H430" s="81"/>
      <c r="I430" s="44"/>
      <c r="J430" s="44"/>
    </row>
    <row r="431" spans="1:11" s="3" customFormat="1" ht="14.4" x14ac:dyDescent="0.3">
      <c r="B431" s="42">
        <v>12</v>
      </c>
      <c r="C431" s="40" t="s">
        <v>83</v>
      </c>
      <c r="D431" s="26">
        <v>16644.5</v>
      </c>
      <c r="E431" s="26">
        <v>0</v>
      </c>
      <c r="F431" s="49">
        <f t="shared" si="22"/>
        <v>16644.5</v>
      </c>
      <c r="G431" s="84">
        <f t="shared" si="23"/>
        <v>308854.95</v>
      </c>
      <c r="H431" s="81"/>
      <c r="I431" s="44"/>
      <c r="J431" s="44"/>
    </row>
    <row r="432" spans="1:11" s="3" customFormat="1" ht="14.4" x14ac:dyDescent="0.3">
      <c r="B432" s="42">
        <v>13</v>
      </c>
      <c r="C432" s="40" t="s">
        <v>69</v>
      </c>
      <c r="D432" s="26">
        <v>8598.4500000000007</v>
      </c>
      <c r="E432" s="26">
        <v>0</v>
      </c>
      <c r="F432" s="49">
        <f t="shared" si="22"/>
        <v>8598.4500000000007</v>
      </c>
      <c r="G432" s="84">
        <f t="shared" si="23"/>
        <v>317453.40000000002</v>
      </c>
      <c r="H432" s="81"/>
      <c r="I432" s="44"/>
      <c r="J432" s="44"/>
    </row>
    <row r="433" spans="1:10" s="3" customFormat="1" ht="16.2" customHeight="1" x14ac:dyDescent="0.3">
      <c r="B433" s="42">
        <v>14</v>
      </c>
      <c r="C433" s="86" t="s">
        <v>70</v>
      </c>
      <c r="D433" s="26">
        <v>14323.51</v>
      </c>
      <c r="E433" s="26">
        <v>0</v>
      </c>
      <c r="F433" s="49">
        <f t="shared" si="22"/>
        <v>14323.51</v>
      </c>
      <c r="G433" s="84">
        <f t="shared" si="23"/>
        <v>331776.91000000003</v>
      </c>
      <c r="H433" s="81"/>
      <c r="I433" s="44"/>
      <c r="J433" s="44"/>
    </row>
    <row r="434" spans="1:10" s="3" customFormat="1" ht="14.4" hidden="1" x14ac:dyDescent="0.3">
      <c r="B434" s="42">
        <v>15</v>
      </c>
      <c r="C434" s="40" t="s">
        <v>71</v>
      </c>
      <c r="D434" s="26"/>
      <c r="E434" s="26"/>
      <c r="F434" s="49">
        <f t="shared" si="22"/>
        <v>0</v>
      </c>
      <c r="G434" s="84">
        <f t="shared" si="23"/>
        <v>331776.91000000003</v>
      </c>
      <c r="H434" s="81"/>
      <c r="I434" s="44"/>
      <c r="J434" s="44"/>
    </row>
    <row r="435" spans="1:10" s="3" customFormat="1" ht="14.4" hidden="1" x14ac:dyDescent="0.3">
      <c r="B435" s="42">
        <v>16</v>
      </c>
      <c r="C435" s="40" t="s">
        <v>72</v>
      </c>
      <c r="D435" s="26"/>
      <c r="E435" s="26"/>
      <c r="F435" s="49">
        <f t="shared" si="22"/>
        <v>0</v>
      </c>
      <c r="G435" s="84">
        <f t="shared" si="23"/>
        <v>331776.91000000003</v>
      </c>
      <c r="H435" s="81"/>
      <c r="I435" s="44"/>
      <c r="J435" s="44"/>
    </row>
    <row r="436" spans="1:10" s="3" customFormat="1" ht="14.4" hidden="1" x14ac:dyDescent="0.3">
      <c r="B436" s="42">
        <v>17</v>
      </c>
      <c r="C436" s="40" t="s">
        <v>73</v>
      </c>
      <c r="D436" s="26"/>
      <c r="E436" s="26"/>
      <c r="F436" s="49">
        <f t="shared" si="22"/>
        <v>0</v>
      </c>
      <c r="G436" s="84">
        <f t="shared" si="23"/>
        <v>331776.91000000003</v>
      </c>
      <c r="H436" s="81"/>
      <c r="I436" s="44"/>
      <c r="J436" s="44"/>
    </row>
    <row r="437" spans="1:10" s="3" customFormat="1" ht="14.4" hidden="1" x14ac:dyDescent="0.3">
      <c r="B437" s="42">
        <v>18</v>
      </c>
      <c r="C437" s="40" t="s">
        <v>74</v>
      </c>
      <c r="D437" s="26"/>
      <c r="E437" s="26"/>
      <c r="F437" s="49">
        <f t="shared" si="22"/>
        <v>0</v>
      </c>
      <c r="G437" s="84">
        <f t="shared" si="23"/>
        <v>331776.91000000003</v>
      </c>
      <c r="H437" s="81"/>
      <c r="I437" s="44"/>
      <c r="J437" s="44"/>
    </row>
    <row r="438" spans="1:10" s="3" customFormat="1" ht="14.4" hidden="1" x14ac:dyDescent="0.3">
      <c r="B438" s="42">
        <v>19</v>
      </c>
      <c r="C438" s="40" t="s">
        <v>75</v>
      </c>
      <c r="D438" s="26"/>
      <c r="E438" s="26"/>
      <c r="F438" s="49">
        <f t="shared" si="22"/>
        <v>0</v>
      </c>
      <c r="G438" s="84">
        <f t="shared" si="23"/>
        <v>331776.91000000003</v>
      </c>
      <c r="H438" s="81"/>
      <c r="I438" s="44"/>
      <c r="J438" s="44"/>
    </row>
    <row r="439" spans="1:10" s="3" customFormat="1" ht="14.4" hidden="1" x14ac:dyDescent="0.3">
      <c r="B439" s="42">
        <v>20</v>
      </c>
      <c r="C439" s="40" t="s">
        <v>76</v>
      </c>
      <c r="D439" s="26"/>
      <c r="E439" s="26"/>
      <c r="F439" s="49">
        <f t="shared" si="22"/>
        <v>0</v>
      </c>
      <c r="G439" s="84">
        <f t="shared" si="23"/>
        <v>331776.91000000003</v>
      </c>
      <c r="H439" s="81"/>
      <c r="I439" s="44"/>
      <c r="J439" s="44"/>
    </row>
    <row r="440" spans="1:10" s="3" customFormat="1" ht="14.4" hidden="1" x14ac:dyDescent="0.3">
      <c r="B440" s="42">
        <v>21</v>
      </c>
      <c r="C440" s="40" t="s">
        <v>77</v>
      </c>
      <c r="D440" s="26"/>
      <c r="E440" s="26"/>
      <c r="F440" s="49">
        <f t="shared" si="22"/>
        <v>0</v>
      </c>
      <c r="G440" s="84">
        <f t="shared" si="23"/>
        <v>331776.91000000003</v>
      </c>
      <c r="H440" s="81"/>
      <c r="I440" s="44"/>
      <c r="J440" s="44"/>
    </row>
    <row r="441" spans="1:10" s="3" customFormat="1" ht="14.4" hidden="1" x14ac:dyDescent="0.3">
      <c r="B441" s="42">
        <v>22</v>
      </c>
      <c r="C441" s="40" t="s">
        <v>78</v>
      </c>
      <c r="D441" s="26"/>
      <c r="E441" s="26"/>
      <c r="F441" s="49">
        <f t="shared" si="22"/>
        <v>0</v>
      </c>
      <c r="G441" s="84">
        <f t="shared" si="23"/>
        <v>331776.91000000003</v>
      </c>
      <c r="H441" s="81"/>
      <c r="I441" s="44"/>
      <c r="J441" s="44"/>
    </row>
    <row r="442" spans="1:10" s="3" customFormat="1" ht="14.4" hidden="1" x14ac:dyDescent="0.3">
      <c r="B442" s="42">
        <v>23</v>
      </c>
      <c r="C442" s="40" t="s">
        <v>79</v>
      </c>
      <c r="D442" s="26"/>
      <c r="E442" s="26"/>
      <c r="F442" s="49">
        <f t="shared" si="22"/>
        <v>0</v>
      </c>
      <c r="G442" s="84">
        <f t="shared" si="23"/>
        <v>331776.91000000003</v>
      </c>
      <c r="H442" s="81"/>
      <c r="I442" s="44"/>
      <c r="J442" s="44"/>
    </row>
    <row r="443" spans="1:10" s="3" customFormat="1" ht="14.4" hidden="1" x14ac:dyDescent="0.3">
      <c r="B443" s="42">
        <v>24</v>
      </c>
      <c r="C443" s="40" t="s">
        <v>80</v>
      </c>
      <c r="D443" s="26"/>
      <c r="E443" s="26"/>
      <c r="F443" s="49">
        <f t="shared" si="22"/>
        <v>0</v>
      </c>
      <c r="G443" s="84">
        <f t="shared" si="23"/>
        <v>331776.91000000003</v>
      </c>
      <c r="H443" s="81"/>
      <c r="I443" s="44"/>
      <c r="J443" s="44"/>
    </row>
    <row r="444" spans="1:10" s="3" customFormat="1" ht="14.4" hidden="1" x14ac:dyDescent="0.3">
      <c r="B444" s="42">
        <v>25</v>
      </c>
      <c r="C444" s="87" t="s">
        <v>81</v>
      </c>
      <c r="D444" s="26"/>
      <c r="E444" s="26"/>
      <c r="F444" s="49">
        <f t="shared" si="22"/>
        <v>0</v>
      </c>
      <c r="G444" s="84">
        <f t="shared" si="23"/>
        <v>331776.91000000003</v>
      </c>
      <c r="H444" s="81"/>
      <c r="I444" s="44"/>
      <c r="J444" s="44"/>
    </row>
    <row r="445" spans="1:10" s="3" customFormat="1" ht="14.4" hidden="1" x14ac:dyDescent="0.3">
      <c r="B445" s="42">
        <v>26</v>
      </c>
      <c r="C445" s="87" t="s">
        <v>82</v>
      </c>
      <c r="D445" s="33"/>
      <c r="E445" s="33"/>
      <c r="F445" s="66">
        <f t="shared" si="22"/>
        <v>0</v>
      </c>
      <c r="G445" s="88">
        <f t="shared" si="23"/>
        <v>331776.91000000003</v>
      </c>
      <c r="H445" s="81"/>
      <c r="I445" s="44"/>
      <c r="J445" s="44"/>
    </row>
    <row r="446" spans="1:10" ht="14.4" x14ac:dyDescent="0.3">
      <c r="A446" s="3"/>
      <c r="B446" s="5" t="s">
        <v>57</v>
      </c>
      <c r="C446" s="89" t="s">
        <v>57</v>
      </c>
      <c r="D446" s="90" t="s">
        <v>57</v>
      </c>
      <c r="E446" s="90" t="s">
        <v>57</v>
      </c>
      <c r="F446" s="90" t="s">
        <v>57</v>
      </c>
      <c r="G446" s="90" t="s">
        <v>57</v>
      </c>
      <c r="H446" s="6" t="s">
        <v>57</v>
      </c>
      <c r="I446" s="3"/>
    </row>
    <row r="447" spans="1:10" ht="14.4" x14ac:dyDescent="0.3">
      <c r="A447" s="3"/>
      <c r="B447" s="8" t="s">
        <v>39</v>
      </c>
      <c r="C447" s="91"/>
      <c r="D447" s="90" t="s">
        <v>57</v>
      </c>
      <c r="E447" s="90" t="s">
        <v>57</v>
      </c>
      <c r="F447" s="90" t="s">
        <v>57</v>
      </c>
      <c r="G447" s="90" t="s">
        <v>57</v>
      </c>
      <c r="H447" s="6" t="s">
        <v>57</v>
      </c>
      <c r="I447" s="3"/>
    </row>
    <row r="448" spans="1:10" ht="14.4" x14ac:dyDescent="0.3">
      <c r="A448" s="3"/>
      <c r="B448" s="9" t="s">
        <v>40</v>
      </c>
      <c r="C448" s="5"/>
      <c r="D448" s="6"/>
      <c r="E448" s="6"/>
      <c r="F448" s="92"/>
      <c r="G448" s="92"/>
      <c r="H448" s="93"/>
      <c r="I448" s="3"/>
    </row>
    <row r="449" spans="1:9" ht="14.4" x14ac:dyDescent="0.3">
      <c r="A449" s="3"/>
      <c r="B449" s="9" t="s">
        <v>41</v>
      </c>
      <c r="C449" s="5"/>
      <c r="D449" s="6"/>
      <c r="E449" s="6"/>
      <c r="F449" s="92"/>
      <c r="G449" s="90" t="s">
        <v>57</v>
      </c>
      <c r="H449" s="6" t="s">
        <v>57</v>
      </c>
      <c r="I449" s="3"/>
    </row>
    <row r="450" spans="1:9" ht="14.4" x14ac:dyDescent="0.3">
      <c r="A450" s="3"/>
      <c r="B450" s="9" t="s">
        <v>42</v>
      </c>
      <c r="C450" s="5"/>
      <c r="D450" s="6"/>
      <c r="E450" s="6"/>
      <c r="F450" s="90" t="s">
        <v>57</v>
      </c>
      <c r="G450" s="90" t="s">
        <v>57</v>
      </c>
      <c r="H450" s="6" t="s">
        <v>57</v>
      </c>
      <c r="I450" s="3"/>
    </row>
    <row r="451" spans="1:9" ht="14.4" x14ac:dyDescent="0.3">
      <c r="A451" s="3"/>
      <c r="B451" s="3"/>
      <c r="C451" s="73"/>
      <c r="D451" s="74"/>
      <c r="E451" s="74"/>
      <c r="F451" s="74"/>
      <c r="G451" s="74"/>
      <c r="H451" s="41"/>
      <c r="I451" s="3"/>
    </row>
    <row r="452" spans="1:9" ht="14.4" x14ac:dyDescent="0.3">
      <c r="A452" s="3"/>
      <c r="B452" s="69" t="s">
        <v>63</v>
      </c>
      <c r="C452" s="70"/>
      <c r="D452" s="71"/>
      <c r="E452" s="71"/>
      <c r="F452" s="71"/>
      <c r="G452" s="71"/>
      <c r="H452" s="72" t="s">
        <v>57</v>
      </c>
      <c r="I452" s="3"/>
    </row>
    <row r="453" spans="1:9" ht="14.4" x14ac:dyDescent="0.3">
      <c r="A453" s="3"/>
      <c r="B453" s="69" t="s">
        <v>56</v>
      </c>
      <c r="C453" s="70"/>
      <c r="D453" s="71"/>
      <c r="E453" s="71" t="s">
        <v>57</v>
      </c>
      <c r="F453" s="71" t="s">
        <v>57</v>
      </c>
      <c r="G453" s="71" t="s">
        <v>57</v>
      </c>
      <c r="H453" s="72" t="s">
        <v>57</v>
      </c>
      <c r="I453" s="3"/>
    </row>
    <row r="454" spans="1:9" ht="14.4" x14ac:dyDescent="0.3">
      <c r="A454" s="3"/>
      <c r="B454" s="69"/>
      <c r="C454" s="70"/>
      <c r="D454" s="71"/>
      <c r="E454" s="71"/>
      <c r="F454" s="71"/>
      <c r="G454" s="71"/>
      <c r="H454" s="72"/>
      <c r="I454" s="3"/>
    </row>
    <row r="455" spans="1:9" ht="14.4" x14ac:dyDescent="0.3">
      <c r="A455" s="3"/>
      <c r="B455" s="3"/>
      <c r="C455" s="73"/>
      <c r="D455" s="74"/>
      <c r="E455" s="74"/>
      <c r="F455" s="74"/>
      <c r="G455" s="74"/>
      <c r="H455" s="41"/>
      <c r="I455" s="3"/>
    </row>
    <row r="456" spans="1:9" ht="14.4" x14ac:dyDescent="0.3">
      <c r="A456" s="3"/>
      <c r="B456" s="3"/>
      <c r="C456" s="73"/>
      <c r="D456" s="74"/>
      <c r="E456" s="74"/>
      <c r="F456" s="74"/>
      <c r="G456" s="74"/>
      <c r="H456" s="41"/>
      <c r="I456" s="3"/>
    </row>
    <row r="457" spans="1:9" ht="16.5" customHeight="1" x14ac:dyDescent="0.35">
      <c r="A457" s="34"/>
      <c r="B457" s="35" t="s">
        <v>57</v>
      </c>
      <c r="C457" s="75" t="s">
        <v>57</v>
      </c>
      <c r="D457" s="187" t="s">
        <v>64</v>
      </c>
      <c r="E457" s="187"/>
      <c r="F457" s="187"/>
      <c r="G457" s="187"/>
      <c r="H457" s="187"/>
      <c r="I457" s="2" t="s">
        <v>0</v>
      </c>
    </row>
    <row r="458" spans="1:9" ht="15.9" customHeight="1" x14ac:dyDescent="0.3">
      <c r="A458" s="3"/>
      <c r="B458" s="128" t="s">
        <v>84</v>
      </c>
      <c r="C458" s="128"/>
      <c r="D458" s="128"/>
      <c r="E458" s="128"/>
      <c r="F458" s="128"/>
      <c r="G458" s="128"/>
      <c r="H458" s="128"/>
      <c r="I458" s="2" t="s">
        <v>1</v>
      </c>
    </row>
    <row r="459" spans="1:9" ht="14.4" x14ac:dyDescent="0.3">
      <c r="A459" s="3"/>
      <c r="B459" s="15"/>
      <c r="C459" s="16"/>
      <c r="D459" s="118" t="s">
        <v>6</v>
      </c>
      <c r="E459" s="118"/>
      <c r="F459" s="118"/>
      <c r="G459" s="118"/>
      <c r="H459" s="181" t="s">
        <v>57</v>
      </c>
      <c r="I459" s="2" t="s">
        <v>2</v>
      </c>
    </row>
    <row r="460" spans="1:9" ht="14.4" x14ac:dyDescent="0.3">
      <c r="A460" s="3"/>
      <c r="B460" s="13"/>
      <c r="C460" s="14"/>
      <c r="D460" s="125" t="s">
        <v>9</v>
      </c>
      <c r="E460" s="125"/>
      <c r="F460" s="125"/>
      <c r="G460" s="125"/>
      <c r="H460" s="181"/>
      <c r="I460" s="2" t="s">
        <v>3</v>
      </c>
    </row>
    <row r="461" spans="1:9" ht="14.4" x14ac:dyDescent="0.3">
      <c r="A461" s="3"/>
      <c r="B461" s="132" t="s">
        <v>10</v>
      </c>
      <c r="C461" s="134" t="s">
        <v>11</v>
      </c>
      <c r="D461" s="62" t="s">
        <v>12</v>
      </c>
      <c r="E461" s="62" t="s">
        <v>13</v>
      </c>
      <c r="F461" s="62" t="s">
        <v>14</v>
      </c>
      <c r="G461" s="76" t="s">
        <v>15</v>
      </c>
      <c r="H461" s="176" t="s">
        <v>57</v>
      </c>
      <c r="I461" s="2" t="s">
        <v>4</v>
      </c>
    </row>
    <row r="462" spans="1:9" ht="14.4" x14ac:dyDescent="0.3">
      <c r="A462" s="3"/>
      <c r="B462" s="132"/>
      <c r="C462" s="134"/>
      <c r="D462" s="145" t="s">
        <v>20</v>
      </c>
      <c r="E462" s="145"/>
      <c r="F462" s="145"/>
      <c r="G462" s="145"/>
      <c r="H462" s="176"/>
      <c r="I462" s="3"/>
    </row>
    <row r="463" spans="1:9" ht="14.4" x14ac:dyDescent="0.3">
      <c r="A463" s="3"/>
      <c r="B463" s="42">
        <v>4</v>
      </c>
      <c r="C463" s="77" t="s">
        <v>21</v>
      </c>
      <c r="D463" s="78">
        <v>33002</v>
      </c>
      <c r="E463" s="26">
        <v>0</v>
      </c>
      <c r="F463" s="79">
        <f>+E463+D463</f>
        <v>33002</v>
      </c>
      <c r="G463" s="80">
        <f>+F463</f>
        <v>33002</v>
      </c>
      <c r="H463" s="81" t="s">
        <v>57</v>
      </c>
      <c r="I463" s="3"/>
    </row>
    <row r="464" spans="1:9" ht="14.4" x14ac:dyDescent="0.3">
      <c r="A464" s="3"/>
      <c r="B464" s="82">
        <v>5</v>
      </c>
      <c r="C464" s="83" t="s">
        <v>22</v>
      </c>
      <c r="D464" s="78">
        <v>132694.17000000001</v>
      </c>
      <c r="E464" s="26">
        <v>0</v>
      </c>
      <c r="F464" s="79">
        <f>+E464+D464</f>
        <v>132694.17000000001</v>
      </c>
      <c r="G464" s="80">
        <f>+G463+F464</f>
        <v>165696.17000000001</v>
      </c>
      <c r="H464" s="81" t="s">
        <v>57</v>
      </c>
      <c r="I464" s="3"/>
    </row>
    <row r="465" spans="1:11" ht="14.4" x14ac:dyDescent="0.3">
      <c r="A465" s="3"/>
      <c r="B465" s="82">
        <v>6</v>
      </c>
      <c r="C465" s="83" t="s">
        <v>23</v>
      </c>
      <c r="D465" s="78">
        <v>66514.61</v>
      </c>
      <c r="E465" s="26">
        <v>0</v>
      </c>
      <c r="F465" s="79">
        <f>+E465+D465</f>
        <v>66514.61</v>
      </c>
      <c r="G465" s="80">
        <f>+G464+F465</f>
        <v>232210.78000000003</v>
      </c>
      <c r="H465" s="81" t="s">
        <v>57</v>
      </c>
      <c r="I465" s="3"/>
    </row>
    <row r="466" spans="1:11" ht="14.4" x14ac:dyDescent="0.3">
      <c r="A466" s="3"/>
      <c r="B466" s="82">
        <v>7</v>
      </c>
      <c r="C466" s="83" t="s">
        <v>24</v>
      </c>
      <c r="D466" s="78">
        <v>112205.12</v>
      </c>
      <c r="E466" s="26">
        <v>0</v>
      </c>
      <c r="F466" s="79">
        <f>+E466+D466</f>
        <v>112205.12</v>
      </c>
      <c r="G466" s="80">
        <f>+G465+F466</f>
        <v>344415.9</v>
      </c>
      <c r="H466" s="81" t="s">
        <v>57</v>
      </c>
      <c r="I466" s="3"/>
    </row>
    <row r="467" spans="1:11" ht="14.4" x14ac:dyDescent="0.3">
      <c r="A467" s="3"/>
      <c r="B467" s="42">
        <v>8</v>
      </c>
      <c r="C467" s="40" t="s">
        <v>25</v>
      </c>
      <c r="D467" s="26">
        <v>117213.18</v>
      </c>
      <c r="E467" s="26">
        <v>0</v>
      </c>
      <c r="F467" s="79">
        <f>+E467+D467</f>
        <v>117213.18</v>
      </c>
      <c r="G467" s="80">
        <f>+G466+F467</f>
        <v>461629.08</v>
      </c>
      <c r="H467" s="81"/>
      <c r="I467" s="85"/>
      <c r="J467" s="3"/>
      <c r="K467" s="3"/>
    </row>
    <row r="468" spans="1:11" s="3" customFormat="1" ht="14.4" x14ac:dyDescent="0.3">
      <c r="B468" s="42">
        <v>9</v>
      </c>
      <c r="C468" s="40" t="s">
        <v>26</v>
      </c>
      <c r="D468" s="26">
        <v>156231.19</v>
      </c>
      <c r="E468" s="26">
        <v>0</v>
      </c>
      <c r="F468" s="49">
        <f t="shared" ref="F468:F485" si="24">+E468+D468</f>
        <v>156231.19</v>
      </c>
      <c r="G468" s="84">
        <f t="shared" ref="G468:G485" si="25">+G467+F468</f>
        <v>617860.27</v>
      </c>
      <c r="H468" s="81"/>
      <c r="I468" s="44"/>
      <c r="J468" s="44"/>
    </row>
    <row r="469" spans="1:11" s="3" customFormat="1" ht="14.4" x14ac:dyDescent="0.3">
      <c r="B469" s="42">
        <v>10</v>
      </c>
      <c r="C469" s="40" t="s">
        <v>67</v>
      </c>
      <c r="D469" s="26">
        <v>46719.1</v>
      </c>
      <c r="E469" s="26">
        <v>0</v>
      </c>
      <c r="F469" s="49">
        <f t="shared" si="24"/>
        <v>46719.1</v>
      </c>
      <c r="G469" s="84">
        <f t="shared" si="25"/>
        <v>664579.37</v>
      </c>
      <c r="H469" s="81"/>
      <c r="I469" s="44"/>
      <c r="J469" s="44"/>
    </row>
    <row r="470" spans="1:11" s="3" customFormat="1" ht="14.4" x14ac:dyDescent="0.3">
      <c r="B470" s="42">
        <v>11</v>
      </c>
      <c r="C470" s="40" t="s">
        <v>68</v>
      </c>
      <c r="D470" s="26">
        <v>143498.67000000001</v>
      </c>
      <c r="E470" s="26">
        <v>0</v>
      </c>
      <c r="F470" s="49">
        <f t="shared" si="24"/>
        <v>143498.67000000001</v>
      </c>
      <c r="G470" s="84">
        <f t="shared" si="25"/>
        <v>808078.04</v>
      </c>
      <c r="H470" s="81"/>
      <c r="I470" s="44"/>
      <c r="J470" s="44"/>
    </row>
    <row r="471" spans="1:11" s="3" customFormat="1" ht="14.4" x14ac:dyDescent="0.3">
      <c r="B471" s="42">
        <v>12</v>
      </c>
      <c r="C471" s="40" t="s">
        <v>83</v>
      </c>
      <c r="D471" s="26">
        <v>202059.68</v>
      </c>
      <c r="E471" s="26">
        <v>0</v>
      </c>
      <c r="F471" s="49">
        <f t="shared" si="24"/>
        <v>202059.68</v>
      </c>
      <c r="G471" s="84">
        <f t="shared" si="25"/>
        <v>1010137.72</v>
      </c>
      <c r="H471" s="81"/>
      <c r="I471" s="44"/>
      <c r="J471" s="44"/>
    </row>
    <row r="472" spans="1:11" s="3" customFormat="1" ht="14.4" x14ac:dyDescent="0.3">
      <c r="B472" s="42">
        <v>13</v>
      </c>
      <c r="C472" s="40" t="s">
        <v>69</v>
      </c>
      <c r="D472" s="26">
        <v>151322.65</v>
      </c>
      <c r="E472" s="26">
        <v>0</v>
      </c>
      <c r="F472" s="49">
        <f t="shared" si="24"/>
        <v>151322.65</v>
      </c>
      <c r="G472" s="84">
        <f t="shared" si="25"/>
        <v>1161460.3699999999</v>
      </c>
      <c r="H472" s="81"/>
      <c r="I472" s="44"/>
      <c r="J472" s="44"/>
    </row>
    <row r="473" spans="1:11" s="3" customFormat="1" ht="16.8" customHeight="1" x14ac:dyDescent="0.3">
      <c r="B473" s="42">
        <v>14</v>
      </c>
      <c r="C473" s="86" t="s">
        <v>70</v>
      </c>
      <c r="D473" s="26">
        <v>84872.6</v>
      </c>
      <c r="E473" s="26">
        <v>0</v>
      </c>
      <c r="F473" s="49">
        <f t="shared" si="24"/>
        <v>84872.6</v>
      </c>
      <c r="G473" s="84">
        <f t="shared" si="25"/>
        <v>1246332.97</v>
      </c>
      <c r="H473" s="81"/>
      <c r="I473" s="44"/>
      <c r="J473" s="44"/>
    </row>
    <row r="474" spans="1:11" s="3" customFormat="1" ht="14.4" hidden="1" x14ac:dyDescent="0.3">
      <c r="B474" s="42">
        <v>15</v>
      </c>
      <c r="C474" s="40" t="s">
        <v>71</v>
      </c>
      <c r="D474" s="26"/>
      <c r="E474" s="26"/>
      <c r="F474" s="49">
        <f t="shared" si="24"/>
        <v>0</v>
      </c>
      <c r="G474" s="84">
        <f t="shared" si="25"/>
        <v>1246332.97</v>
      </c>
      <c r="H474" s="81"/>
      <c r="I474" s="44"/>
      <c r="J474" s="44"/>
    </row>
    <row r="475" spans="1:11" s="3" customFormat="1" ht="14.4" hidden="1" x14ac:dyDescent="0.3">
      <c r="B475" s="42">
        <v>16</v>
      </c>
      <c r="C475" s="40" t="s">
        <v>72</v>
      </c>
      <c r="D475" s="26"/>
      <c r="E475" s="26"/>
      <c r="F475" s="49">
        <f t="shared" si="24"/>
        <v>0</v>
      </c>
      <c r="G475" s="84">
        <f t="shared" si="25"/>
        <v>1246332.97</v>
      </c>
      <c r="H475" s="81"/>
      <c r="I475" s="44"/>
      <c r="J475" s="44"/>
    </row>
    <row r="476" spans="1:11" s="3" customFormat="1" ht="14.4" hidden="1" x14ac:dyDescent="0.3">
      <c r="B476" s="42">
        <v>17</v>
      </c>
      <c r="C476" s="40" t="s">
        <v>73</v>
      </c>
      <c r="D476" s="26"/>
      <c r="E476" s="26"/>
      <c r="F476" s="49">
        <f t="shared" si="24"/>
        <v>0</v>
      </c>
      <c r="G476" s="84">
        <f t="shared" si="25"/>
        <v>1246332.97</v>
      </c>
      <c r="H476" s="81"/>
      <c r="I476" s="44"/>
      <c r="J476" s="44"/>
    </row>
    <row r="477" spans="1:11" s="3" customFormat="1" ht="14.4" hidden="1" x14ac:dyDescent="0.3">
      <c r="B477" s="42">
        <v>18</v>
      </c>
      <c r="C477" s="40" t="s">
        <v>74</v>
      </c>
      <c r="D477" s="26"/>
      <c r="E477" s="26"/>
      <c r="F477" s="49">
        <f t="shared" si="24"/>
        <v>0</v>
      </c>
      <c r="G477" s="84">
        <f t="shared" si="25"/>
        <v>1246332.97</v>
      </c>
      <c r="H477" s="81"/>
      <c r="I477" s="44"/>
      <c r="J477" s="44"/>
    </row>
    <row r="478" spans="1:11" s="3" customFormat="1" ht="14.4" hidden="1" x14ac:dyDescent="0.3">
      <c r="B478" s="42">
        <v>19</v>
      </c>
      <c r="C478" s="40" t="s">
        <v>75</v>
      </c>
      <c r="D478" s="26"/>
      <c r="E478" s="26"/>
      <c r="F478" s="49">
        <f t="shared" si="24"/>
        <v>0</v>
      </c>
      <c r="G478" s="84">
        <f t="shared" si="25"/>
        <v>1246332.97</v>
      </c>
      <c r="H478" s="81"/>
      <c r="I478" s="44"/>
      <c r="J478" s="44"/>
    </row>
    <row r="479" spans="1:11" s="3" customFormat="1" ht="14.4" hidden="1" x14ac:dyDescent="0.3">
      <c r="B479" s="42">
        <v>20</v>
      </c>
      <c r="C479" s="40" t="s">
        <v>76</v>
      </c>
      <c r="D479" s="26"/>
      <c r="E479" s="26"/>
      <c r="F479" s="49">
        <f t="shared" si="24"/>
        <v>0</v>
      </c>
      <c r="G479" s="84">
        <f t="shared" si="25"/>
        <v>1246332.97</v>
      </c>
      <c r="H479" s="81"/>
      <c r="I479" s="44"/>
      <c r="J479" s="44"/>
    </row>
    <row r="480" spans="1:11" s="3" customFormat="1" ht="14.4" hidden="1" x14ac:dyDescent="0.3">
      <c r="B480" s="42">
        <v>21</v>
      </c>
      <c r="C480" s="40" t="s">
        <v>77</v>
      </c>
      <c r="D480" s="26"/>
      <c r="E480" s="26"/>
      <c r="F480" s="49">
        <f t="shared" si="24"/>
        <v>0</v>
      </c>
      <c r="G480" s="84">
        <f t="shared" si="25"/>
        <v>1246332.97</v>
      </c>
      <c r="H480" s="81"/>
      <c r="I480" s="44"/>
      <c r="J480" s="44"/>
    </row>
    <row r="481" spans="1:10" s="3" customFormat="1" ht="14.4" hidden="1" x14ac:dyDescent="0.3">
      <c r="B481" s="42">
        <v>22</v>
      </c>
      <c r="C481" s="40" t="s">
        <v>78</v>
      </c>
      <c r="D481" s="26"/>
      <c r="E481" s="26"/>
      <c r="F481" s="49">
        <f t="shared" si="24"/>
        <v>0</v>
      </c>
      <c r="G481" s="84">
        <f t="shared" si="25"/>
        <v>1246332.97</v>
      </c>
      <c r="H481" s="81"/>
      <c r="I481" s="44"/>
      <c r="J481" s="44"/>
    </row>
    <row r="482" spans="1:10" s="3" customFormat="1" ht="14.4" hidden="1" x14ac:dyDescent="0.3">
      <c r="B482" s="42">
        <v>23</v>
      </c>
      <c r="C482" s="40" t="s">
        <v>79</v>
      </c>
      <c r="D482" s="26"/>
      <c r="E482" s="26"/>
      <c r="F482" s="49">
        <f t="shared" si="24"/>
        <v>0</v>
      </c>
      <c r="G482" s="84">
        <f t="shared" si="25"/>
        <v>1246332.97</v>
      </c>
      <c r="H482" s="81"/>
      <c r="I482" s="44"/>
      <c r="J482" s="44"/>
    </row>
    <row r="483" spans="1:10" s="3" customFormat="1" ht="14.4" hidden="1" x14ac:dyDescent="0.3">
      <c r="B483" s="42">
        <v>24</v>
      </c>
      <c r="C483" s="40" t="s">
        <v>80</v>
      </c>
      <c r="D483" s="26"/>
      <c r="E483" s="26"/>
      <c r="F483" s="49">
        <f t="shared" si="24"/>
        <v>0</v>
      </c>
      <c r="G483" s="84">
        <f t="shared" si="25"/>
        <v>1246332.97</v>
      </c>
      <c r="H483" s="81"/>
      <c r="I483" s="44"/>
      <c r="J483" s="44"/>
    </row>
    <row r="484" spans="1:10" s="3" customFormat="1" ht="14.4" hidden="1" x14ac:dyDescent="0.3">
      <c r="B484" s="42">
        <v>25</v>
      </c>
      <c r="C484" s="87" t="s">
        <v>81</v>
      </c>
      <c r="D484" s="26"/>
      <c r="E484" s="26"/>
      <c r="F484" s="49">
        <f t="shared" si="24"/>
        <v>0</v>
      </c>
      <c r="G484" s="84">
        <f t="shared" si="25"/>
        <v>1246332.97</v>
      </c>
      <c r="H484" s="81"/>
      <c r="I484" s="44"/>
      <c r="J484" s="44"/>
    </row>
    <row r="485" spans="1:10" s="3" customFormat="1" ht="14.4" hidden="1" x14ac:dyDescent="0.3">
      <c r="B485" s="42">
        <v>26</v>
      </c>
      <c r="C485" s="87" t="s">
        <v>82</v>
      </c>
      <c r="D485" s="33"/>
      <c r="E485" s="33"/>
      <c r="F485" s="66">
        <f t="shared" si="24"/>
        <v>0</v>
      </c>
      <c r="G485" s="88">
        <f t="shared" si="25"/>
        <v>1246332.97</v>
      </c>
      <c r="H485" s="81"/>
      <c r="I485" s="44"/>
      <c r="J485" s="44"/>
    </row>
    <row r="486" spans="1:10" ht="14.4" x14ac:dyDescent="0.3">
      <c r="A486" s="3"/>
      <c r="B486" s="5" t="s">
        <v>57</v>
      </c>
      <c r="C486" s="89" t="s">
        <v>57</v>
      </c>
      <c r="D486" s="90" t="s">
        <v>57</v>
      </c>
      <c r="E486" s="90" t="s">
        <v>57</v>
      </c>
      <c r="F486" s="90" t="s">
        <v>57</v>
      </c>
      <c r="G486" s="90" t="s">
        <v>57</v>
      </c>
      <c r="H486" s="6" t="s">
        <v>57</v>
      </c>
      <c r="I486" s="41"/>
      <c r="J486" s="100"/>
    </row>
    <row r="487" spans="1:10" ht="14.4" x14ac:dyDescent="0.3">
      <c r="A487" s="3"/>
      <c r="B487" s="8" t="s">
        <v>39</v>
      </c>
      <c r="C487" s="91"/>
      <c r="D487" s="90" t="s">
        <v>57</v>
      </c>
      <c r="E487" s="90" t="s">
        <v>57</v>
      </c>
      <c r="F487" s="90" t="s">
        <v>57</v>
      </c>
      <c r="G487" s="90" t="s">
        <v>57</v>
      </c>
      <c r="H487" s="6" t="s">
        <v>57</v>
      </c>
      <c r="I487" s="3"/>
    </row>
    <row r="488" spans="1:10" ht="14.4" x14ac:dyDescent="0.3">
      <c r="A488" s="3"/>
      <c r="B488" s="9" t="s">
        <v>40</v>
      </c>
      <c r="C488" s="5"/>
      <c r="D488" s="6"/>
      <c r="E488" s="6"/>
      <c r="F488" s="92"/>
      <c r="G488" s="92"/>
      <c r="H488" s="93"/>
      <c r="I488" s="3"/>
    </row>
    <row r="489" spans="1:10" ht="14.4" x14ac:dyDescent="0.3">
      <c r="A489" s="3"/>
      <c r="B489" s="9" t="s">
        <v>41</v>
      </c>
      <c r="C489" s="5"/>
      <c r="D489" s="6"/>
      <c r="E489" s="6"/>
      <c r="F489" s="92"/>
      <c r="G489" s="90" t="s">
        <v>57</v>
      </c>
      <c r="H489" s="6" t="s">
        <v>57</v>
      </c>
      <c r="I489" s="3"/>
    </row>
    <row r="490" spans="1:10" ht="14.4" x14ac:dyDescent="0.3">
      <c r="A490" s="3"/>
      <c r="B490" s="9" t="s">
        <v>42</v>
      </c>
      <c r="C490" s="5"/>
      <c r="D490" s="6"/>
      <c r="E490" s="6"/>
      <c r="F490" s="90" t="s">
        <v>57</v>
      </c>
      <c r="G490" s="90" t="s">
        <v>57</v>
      </c>
      <c r="H490" s="6" t="s">
        <v>57</v>
      </c>
      <c r="I490" s="3"/>
    </row>
    <row r="491" spans="1:10" ht="14.4" x14ac:dyDescent="0.3">
      <c r="A491" s="3"/>
      <c r="B491" s="9" t="s">
        <v>57</v>
      </c>
      <c r="C491" s="89" t="s">
        <v>57</v>
      </c>
      <c r="D491" s="90" t="s">
        <v>57</v>
      </c>
      <c r="E491" s="90" t="s">
        <v>57</v>
      </c>
      <c r="F491" s="90" t="s">
        <v>57</v>
      </c>
      <c r="G491" s="90" t="s">
        <v>57</v>
      </c>
      <c r="H491" s="6" t="s">
        <v>57</v>
      </c>
      <c r="I491" s="3"/>
    </row>
    <row r="492" spans="1:10" ht="14.4" x14ac:dyDescent="0.3">
      <c r="A492" s="3"/>
      <c r="B492" s="9" t="s">
        <v>57</v>
      </c>
      <c r="C492" s="89" t="s">
        <v>57</v>
      </c>
      <c r="D492" s="90" t="s">
        <v>57</v>
      </c>
      <c r="E492" s="90" t="s">
        <v>57</v>
      </c>
      <c r="F492" s="90" t="s">
        <v>57</v>
      </c>
      <c r="G492" s="90" t="s">
        <v>57</v>
      </c>
      <c r="H492" s="6" t="s">
        <v>57</v>
      </c>
      <c r="I492" s="3"/>
    </row>
    <row r="493" spans="1:10" ht="18" x14ac:dyDescent="0.35">
      <c r="A493" s="3"/>
      <c r="C493" s="94"/>
      <c r="D493" s="185" t="s">
        <v>43</v>
      </c>
      <c r="E493" s="185"/>
      <c r="F493" s="185"/>
      <c r="G493" s="185"/>
      <c r="H493" s="185"/>
      <c r="I493" s="3"/>
    </row>
    <row r="494" spans="1:10" ht="15.6" x14ac:dyDescent="0.3">
      <c r="A494" s="37"/>
      <c r="B494" s="27" t="s">
        <v>57</v>
      </c>
      <c r="C494" s="95" t="s">
        <v>57</v>
      </c>
      <c r="D494" s="186" t="s">
        <v>64</v>
      </c>
      <c r="E494" s="186"/>
      <c r="F494" s="186"/>
      <c r="G494" s="186"/>
      <c r="H494" s="186"/>
      <c r="I494" s="37"/>
    </row>
    <row r="495" spans="1:10" ht="15.9" customHeight="1" x14ac:dyDescent="0.3">
      <c r="A495" s="3"/>
      <c r="B495" s="128" t="s">
        <v>84</v>
      </c>
      <c r="C495" s="128"/>
      <c r="D495" s="128"/>
      <c r="E495" s="128"/>
      <c r="F495" s="128"/>
      <c r="G495" s="128"/>
      <c r="H495" s="128"/>
      <c r="I495" s="3"/>
    </row>
    <row r="496" spans="1:10" ht="14.4" x14ac:dyDescent="0.3">
      <c r="A496" s="3"/>
      <c r="B496" s="15"/>
      <c r="C496" s="16"/>
      <c r="D496" s="118" t="s">
        <v>6</v>
      </c>
      <c r="E496" s="118"/>
      <c r="F496" s="118"/>
      <c r="G496" s="118"/>
      <c r="H496" s="181" t="s">
        <v>57</v>
      </c>
      <c r="I496" s="3"/>
    </row>
    <row r="497" spans="1:11" ht="14.4" x14ac:dyDescent="0.3">
      <c r="A497" s="3"/>
      <c r="B497" s="13"/>
      <c r="C497" s="14"/>
      <c r="D497" s="125" t="s">
        <v>9</v>
      </c>
      <c r="E497" s="125"/>
      <c r="F497" s="125"/>
      <c r="G497" s="125"/>
      <c r="H497" s="181"/>
      <c r="I497" s="3"/>
    </row>
    <row r="498" spans="1:11" ht="14.4" x14ac:dyDescent="0.3">
      <c r="A498" s="3"/>
      <c r="B498" s="132" t="s">
        <v>10</v>
      </c>
      <c r="C498" s="134" t="s">
        <v>11</v>
      </c>
      <c r="D498" s="62" t="s">
        <v>12</v>
      </c>
      <c r="E498" s="62" t="s">
        <v>13</v>
      </c>
      <c r="F498" s="62" t="s">
        <v>14</v>
      </c>
      <c r="G498" s="76" t="s">
        <v>15</v>
      </c>
      <c r="H498" s="176" t="s">
        <v>57</v>
      </c>
      <c r="I498" s="3"/>
    </row>
    <row r="499" spans="1:11" ht="14.4" x14ac:dyDescent="0.3">
      <c r="A499" s="3"/>
      <c r="B499" s="132"/>
      <c r="C499" s="134"/>
      <c r="D499" s="145" t="s">
        <v>20</v>
      </c>
      <c r="E499" s="145"/>
      <c r="F499" s="145"/>
      <c r="G499" s="145"/>
      <c r="H499" s="176"/>
      <c r="I499" s="3"/>
    </row>
    <row r="500" spans="1:11" ht="14.4" x14ac:dyDescent="0.3">
      <c r="A500" s="3"/>
      <c r="B500" s="42">
        <v>4</v>
      </c>
      <c r="C500" s="77" t="s">
        <v>21</v>
      </c>
      <c r="D500" s="26">
        <v>0</v>
      </c>
      <c r="E500" s="26">
        <v>0</v>
      </c>
      <c r="F500" s="26">
        <v>0</v>
      </c>
      <c r="G500" s="26">
        <v>0</v>
      </c>
      <c r="H500" s="81" t="s">
        <v>57</v>
      </c>
      <c r="I500" s="3"/>
    </row>
    <row r="501" spans="1:11" ht="14.4" x14ac:dyDescent="0.3">
      <c r="A501" s="3"/>
      <c r="B501" s="82">
        <v>5</v>
      </c>
      <c r="C501" s="83" t="s">
        <v>22</v>
      </c>
      <c r="D501" s="78">
        <v>2504.5</v>
      </c>
      <c r="E501" s="26">
        <v>0</v>
      </c>
      <c r="F501" s="79">
        <f>+E501+D501</f>
        <v>2504.5</v>
      </c>
      <c r="G501" s="80">
        <f>+F501</f>
        <v>2504.5</v>
      </c>
      <c r="H501" s="81" t="s">
        <v>57</v>
      </c>
      <c r="I501" s="3"/>
    </row>
    <row r="502" spans="1:11" ht="14.4" x14ac:dyDescent="0.3">
      <c r="A502" s="3"/>
      <c r="B502" s="82">
        <v>6</v>
      </c>
      <c r="C502" s="83" t="s">
        <v>23</v>
      </c>
      <c r="D502" s="26">
        <v>0</v>
      </c>
      <c r="E502" s="26">
        <v>0</v>
      </c>
      <c r="F502" s="79">
        <f>+E502+D502</f>
        <v>0</v>
      </c>
      <c r="G502" s="80">
        <f>+F502+G501</f>
        <v>2504.5</v>
      </c>
      <c r="H502" s="81" t="s">
        <v>57</v>
      </c>
      <c r="I502" s="3"/>
    </row>
    <row r="503" spans="1:11" ht="14.4" x14ac:dyDescent="0.3">
      <c r="A503" s="3"/>
      <c r="B503" s="82">
        <v>7</v>
      </c>
      <c r="C503" s="83" t="s">
        <v>24</v>
      </c>
      <c r="D503" s="78">
        <v>28710.5</v>
      </c>
      <c r="E503" s="26">
        <v>0</v>
      </c>
      <c r="F503" s="79">
        <f>+E503+D503</f>
        <v>28710.5</v>
      </c>
      <c r="G503" s="80">
        <f>+F503+G502</f>
        <v>31215</v>
      </c>
      <c r="H503" s="81" t="s">
        <v>57</v>
      </c>
      <c r="I503" s="3"/>
    </row>
    <row r="504" spans="1:11" ht="14.4" x14ac:dyDescent="0.3">
      <c r="A504" s="3"/>
      <c r="B504" s="42">
        <v>8</v>
      </c>
      <c r="C504" s="40" t="s">
        <v>25</v>
      </c>
      <c r="D504" s="26">
        <v>1769.51</v>
      </c>
      <c r="E504" s="26">
        <v>0</v>
      </c>
      <c r="F504" s="79">
        <f>+E504+D504</f>
        <v>1769.51</v>
      </c>
      <c r="G504" s="80">
        <f>+F504+G503</f>
        <v>32984.51</v>
      </c>
      <c r="H504" s="81"/>
      <c r="I504" s="10"/>
      <c r="J504" s="3"/>
      <c r="K504" s="3"/>
    </row>
    <row r="505" spans="1:11" s="3" customFormat="1" ht="14.4" x14ac:dyDescent="0.3">
      <c r="B505" s="42">
        <v>9</v>
      </c>
      <c r="C505" s="40" t="s">
        <v>26</v>
      </c>
      <c r="D505" s="26">
        <v>0</v>
      </c>
      <c r="E505" s="26">
        <v>0</v>
      </c>
      <c r="F505" s="49">
        <f t="shared" ref="F505:F522" si="26">+E505+D505</f>
        <v>0</v>
      </c>
      <c r="G505" s="84">
        <f t="shared" ref="G505:G522" si="27">+G504+F505</f>
        <v>32984.51</v>
      </c>
      <c r="H505" s="81"/>
      <c r="I505" s="44"/>
      <c r="J505" s="44"/>
    </row>
    <row r="506" spans="1:11" s="3" customFormat="1" ht="14.4" x14ac:dyDescent="0.3">
      <c r="B506" s="42">
        <v>10</v>
      </c>
      <c r="C506" s="40" t="s">
        <v>67</v>
      </c>
      <c r="D506" s="26">
        <v>660.5</v>
      </c>
      <c r="E506" s="26">
        <v>0</v>
      </c>
      <c r="F506" s="49">
        <f t="shared" si="26"/>
        <v>660.5</v>
      </c>
      <c r="G506" s="84">
        <f t="shared" si="27"/>
        <v>33645.01</v>
      </c>
      <c r="H506" s="81"/>
      <c r="I506" s="44"/>
      <c r="J506" s="44"/>
    </row>
    <row r="507" spans="1:11" s="3" customFormat="1" ht="14.4" x14ac:dyDescent="0.3">
      <c r="B507" s="42">
        <v>11</v>
      </c>
      <c r="C507" s="40" t="s">
        <v>68</v>
      </c>
      <c r="D507" s="26">
        <v>30369.51</v>
      </c>
      <c r="E507" s="26">
        <v>0</v>
      </c>
      <c r="F507" s="49">
        <f t="shared" si="26"/>
        <v>30369.51</v>
      </c>
      <c r="G507" s="84">
        <f t="shared" si="27"/>
        <v>64014.520000000004</v>
      </c>
      <c r="H507" s="81"/>
      <c r="I507" s="44"/>
      <c r="J507" s="44"/>
    </row>
    <row r="508" spans="1:11" s="3" customFormat="1" ht="14.4" x14ac:dyDescent="0.3">
      <c r="B508" s="42">
        <v>12</v>
      </c>
      <c r="C508" s="40" t="s">
        <v>83</v>
      </c>
      <c r="D508" s="26">
        <v>7265.01</v>
      </c>
      <c r="E508" s="26">
        <v>0</v>
      </c>
      <c r="F508" s="49">
        <f t="shared" si="26"/>
        <v>7265.01</v>
      </c>
      <c r="G508" s="84">
        <f t="shared" si="27"/>
        <v>71279.53</v>
      </c>
      <c r="H508" s="81"/>
      <c r="I508" s="44"/>
      <c r="J508" s="44"/>
    </row>
    <row r="509" spans="1:11" s="3" customFormat="1" ht="14.4" x14ac:dyDescent="0.3">
      <c r="B509" s="42">
        <v>13</v>
      </c>
      <c r="C509" s="40" t="s">
        <v>69</v>
      </c>
      <c r="D509" s="26">
        <v>17882.509999999998</v>
      </c>
      <c r="E509" s="26">
        <v>0</v>
      </c>
      <c r="F509" s="49">
        <f t="shared" si="26"/>
        <v>17882.509999999998</v>
      </c>
      <c r="G509" s="84">
        <f t="shared" si="27"/>
        <v>89162.04</v>
      </c>
      <c r="H509" s="81"/>
      <c r="I509" s="44"/>
      <c r="J509" s="44"/>
    </row>
    <row r="510" spans="1:11" s="3" customFormat="1" ht="15" customHeight="1" x14ac:dyDescent="0.3">
      <c r="B510" s="42">
        <v>14</v>
      </c>
      <c r="C510" s="86" t="s">
        <v>70</v>
      </c>
      <c r="D510" s="26">
        <v>11795.52</v>
      </c>
      <c r="E510" s="26">
        <v>0</v>
      </c>
      <c r="F510" s="49">
        <f t="shared" si="26"/>
        <v>11795.52</v>
      </c>
      <c r="G510" s="84">
        <f t="shared" si="27"/>
        <v>100957.56</v>
      </c>
      <c r="H510" s="81"/>
      <c r="I510" s="44"/>
      <c r="J510" s="44"/>
    </row>
    <row r="511" spans="1:11" s="3" customFormat="1" ht="14.4" hidden="1" x14ac:dyDescent="0.3">
      <c r="B511" s="42">
        <v>15</v>
      </c>
      <c r="C511" s="40" t="s">
        <v>71</v>
      </c>
      <c r="D511" s="26"/>
      <c r="E511" s="26"/>
      <c r="F511" s="49">
        <f t="shared" si="26"/>
        <v>0</v>
      </c>
      <c r="G511" s="84">
        <f t="shared" si="27"/>
        <v>100957.56</v>
      </c>
      <c r="H511" s="81"/>
      <c r="I511" s="44"/>
      <c r="J511" s="44"/>
    </row>
    <row r="512" spans="1:11" s="3" customFormat="1" ht="14.4" hidden="1" x14ac:dyDescent="0.3">
      <c r="B512" s="42">
        <v>16</v>
      </c>
      <c r="C512" s="40" t="s">
        <v>72</v>
      </c>
      <c r="D512" s="26"/>
      <c r="E512" s="26"/>
      <c r="F512" s="49">
        <f t="shared" si="26"/>
        <v>0</v>
      </c>
      <c r="G512" s="84">
        <f t="shared" si="27"/>
        <v>100957.56</v>
      </c>
      <c r="H512" s="81"/>
      <c r="I512" s="44"/>
      <c r="J512" s="44"/>
    </row>
    <row r="513" spans="1:10" s="3" customFormat="1" ht="14.4" hidden="1" x14ac:dyDescent="0.3">
      <c r="B513" s="42">
        <v>17</v>
      </c>
      <c r="C513" s="40" t="s">
        <v>73</v>
      </c>
      <c r="D513" s="26"/>
      <c r="E513" s="26"/>
      <c r="F513" s="49">
        <f t="shared" si="26"/>
        <v>0</v>
      </c>
      <c r="G513" s="84">
        <f t="shared" si="27"/>
        <v>100957.56</v>
      </c>
      <c r="H513" s="81"/>
      <c r="I513" s="44"/>
      <c r="J513" s="44"/>
    </row>
    <row r="514" spans="1:10" s="3" customFormat="1" ht="14.4" hidden="1" x14ac:dyDescent="0.3">
      <c r="B514" s="42">
        <v>18</v>
      </c>
      <c r="C514" s="40" t="s">
        <v>74</v>
      </c>
      <c r="D514" s="26"/>
      <c r="E514" s="26"/>
      <c r="F514" s="49">
        <f t="shared" si="26"/>
        <v>0</v>
      </c>
      <c r="G514" s="84">
        <f t="shared" si="27"/>
        <v>100957.56</v>
      </c>
      <c r="H514" s="81"/>
      <c r="I514" s="44"/>
      <c r="J514" s="44"/>
    </row>
    <row r="515" spans="1:10" s="3" customFormat="1" ht="14.4" hidden="1" x14ac:dyDescent="0.3">
      <c r="B515" s="42">
        <v>19</v>
      </c>
      <c r="C515" s="40" t="s">
        <v>75</v>
      </c>
      <c r="D515" s="26"/>
      <c r="E515" s="26"/>
      <c r="F515" s="49">
        <f t="shared" si="26"/>
        <v>0</v>
      </c>
      <c r="G515" s="84">
        <f t="shared" si="27"/>
        <v>100957.56</v>
      </c>
      <c r="H515" s="81"/>
      <c r="I515" s="44"/>
      <c r="J515" s="44"/>
    </row>
    <row r="516" spans="1:10" s="3" customFormat="1" ht="14.4" hidden="1" x14ac:dyDescent="0.3">
      <c r="B516" s="42">
        <v>20</v>
      </c>
      <c r="C516" s="40" t="s">
        <v>76</v>
      </c>
      <c r="D516" s="26"/>
      <c r="E516" s="26"/>
      <c r="F516" s="49">
        <f t="shared" si="26"/>
        <v>0</v>
      </c>
      <c r="G516" s="84">
        <f t="shared" si="27"/>
        <v>100957.56</v>
      </c>
      <c r="H516" s="81"/>
      <c r="I516" s="44"/>
      <c r="J516" s="44"/>
    </row>
    <row r="517" spans="1:10" s="3" customFormat="1" ht="14.4" hidden="1" x14ac:dyDescent="0.3">
      <c r="B517" s="42">
        <v>21</v>
      </c>
      <c r="C517" s="40" t="s">
        <v>77</v>
      </c>
      <c r="D517" s="26"/>
      <c r="E517" s="26"/>
      <c r="F517" s="49">
        <f t="shared" si="26"/>
        <v>0</v>
      </c>
      <c r="G517" s="84">
        <f t="shared" si="27"/>
        <v>100957.56</v>
      </c>
      <c r="H517" s="81"/>
      <c r="I517" s="44"/>
      <c r="J517" s="44"/>
    </row>
    <row r="518" spans="1:10" s="3" customFormat="1" ht="14.4" hidden="1" x14ac:dyDescent="0.3">
      <c r="B518" s="42">
        <v>22</v>
      </c>
      <c r="C518" s="40" t="s">
        <v>78</v>
      </c>
      <c r="D518" s="26"/>
      <c r="E518" s="26"/>
      <c r="F518" s="49">
        <f t="shared" si="26"/>
        <v>0</v>
      </c>
      <c r="G518" s="84">
        <f t="shared" si="27"/>
        <v>100957.56</v>
      </c>
      <c r="H518" s="81"/>
      <c r="I518" s="44"/>
      <c r="J518" s="44"/>
    </row>
    <row r="519" spans="1:10" s="3" customFormat="1" ht="14.4" hidden="1" x14ac:dyDescent="0.3">
      <c r="B519" s="42">
        <v>23</v>
      </c>
      <c r="C519" s="40" t="s">
        <v>79</v>
      </c>
      <c r="D519" s="26"/>
      <c r="E519" s="26"/>
      <c r="F519" s="49">
        <f t="shared" si="26"/>
        <v>0</v>
      </c>
      <c r="G519" s="84">
        <f t="shared" si="27"/>
        <v>100957.56</v>
      </c>
      <c r="H519" s="81"/>
      <c r="I519" s="44"/>
      <c r="J519" s="44"/>
    </row>
    <row r="520" spans="1:10" s="3" customFormat="1" ht="14.4" hidden="1" x14ac:dyDescent="0.3">
      <c r="B520" s="42">
        <v>24</v>
      </c>
      <c r="C520" s="40" t="s">
        <v>80</v>
      </c>
      <c r="D520" s="26"/>
      <c r="E520" s="26"/>
      <c r="F520" s="49">
        <f t="shared" si="26"/>
        <v>0</v>
      </c>
      <c r="G520" s="84">
        <f t="shared" si="27"/>
        <v>100957.56</v>
      </c>
      <c r="H520" s="81"/>
      <c r="I520" s="44"/>
      <c r="J520" s="44"/>
    </row>
    <row r="521" spans="1:10" s="3" customFormat="1" ht="14.4" hidden="1" x14ac:dyDescent="0.3">
      <c r="B521" s="42">
        <v>25</v>
      </c>
      <c r="C521" s="87" t="s">
        <v>81</v>
      </c>
      <c r="D521" s="26"/>
      <c r="E521" s="26"/>
      <c r="F521" s="49">
        <f t="shared" si="26"/>
        <v>0</v>
      </c>
      <c r="G521" s="84">
        <f t="shared" si="27"/>
        <v>100957.56</v>
      </c>
      <c r="H521" s="81"/>
      <c r="I521" s="44"/>
      <c r="J521" s="44"/>
    </row>
    <row r="522" spans="1:10" s="3" customFormat="1" ht="14.4" hidden="1" x14ac:dyDescent="0.3">
      <c r="B522" s="42">
        <v>26</v>
      </c>
      <c r="C522" s="87" t="s">
        <v>82</v>
      </c>
      <c r="D522" s="33"/>
      <c r="E522" s="33"/>
      <c r="F522" s="66">
        <f t="shared" si="26"/>
        <v>0</v>
      </c>
      <c r="G522" s="88">
        <f t="shared" si="27"/>
        <v>100957.56</v>
      </c>
      <c r="H522" s="81"/>
      <c r="I522" s="44"/>
      <c r="J522" s="44"/>
    </row>
    <row r="523" spans="1:10" ht="14.4" x14ac:dyDescent="0.3">
      <c r="A523" s="3"/>
      <c r="B523" s="5" t="s">
        <v>57</v>
      </c>
      <c r="C523" s="89" t="s">
        <v>57</v>
      </c>
      <c r="D523" s="90" t="s">
        <v>57</v>
      </c>
      <c r="E523" s="90" t="s">
        <v>57</v>
      </c>
      <c r="F523" s="90" t="s">
        <v>57</v>
      </c>
      <c r="G523" s="90" t="s">
        <v>57</v>
      </c>
      <c r="H523" s="6" t="s">
        <v>57</v>
      </c>
      <c r="I523" s="3"/>
    </row>
    <row r="524" spans="1:10" ht="14.4" x14ac:dyDescent="0.3">
      <c r="A524" s="3"/>
      <c r="B524" s="8" t="s">
        <v>39</v>
      </c>
      <c r="C524" s="91"/>
      <c r="D524" s="90" t="s">
        <v>57</v>
      </c>
      <c r="E524" s="90" t="s">
        <v>57</v>
      </c>
      <c r="F524" s="90" t="s">
        <v>57</v>
      </c>
      <c r="G524" s="90" t="s">
        <v>57</v>
      </c>
      <c r="H524" s="6" t="s">
        <v>57</v>
      </c>
      <c r="I524" s="3"/>
    </row>
    <row r="525" spans="1:10" ht="14.4" x14ac:dyDescent="0.3">
      <c r="A525" s="3"/>
      <c r="B525" s="9" t="s">
        <v>40</v>
      </c>
      <c r="C525" s="5"/>
      <c r="D525" s="6"/>
      <c r="E525" s="6"/>
      <c r="F525" s="92"/>
      <c r="G525" s="92"/>
      <c r="H525" s="93"/>
      <c r="I525" s="3"/>
    </row>
    <row r="526" spans="1:10" ht="14.4" x14ac:dyDescent="0.3">
      <c r="A526" s="3"/>
      <c r="B526" s="9" t="s">
        <v>41</v>
      </c>
      <c r="C526" s="5"/>
      <c r="D526" s="6"/>
      <c r="E526" s="6"/>
      <c r="F526" s="92"/>
      <c r="G526" s="90" t="s">
        <v>57</v>
      </c>
      <c r="H526" s="6" t="s">
        <v>57</v>
      </c>
      <c r="I526" s="3"/>
    </row>
    <row r="527" spans="1:10" ht="14.4" x14ac:dyDescent="0.3">
      <c r="A527" s="3"/>
      <c r="B527" s="9" t="s">
        <v>42</v>
      </c>
      <c r="C527" s="5"/>
      <c r="D527" s="6"/>
      <c r="E527" s="6"/>
      <c r="F527" s="90" t="s">
        <v>57</v>
      </c>
      <c r="G527" s="90" t="s">
        <v>57</v>
      </c>
      <c r="H527" s="6" t="s">
        <v>57</v>
      </c>
      <c r="I527" s="3"/>
    </row>
    <row r="528" spans="1:10" ht="14.4" x14ac:dyDescent="0.3">
      <c r="A528" s="3"/>
      <c r="B528" s="10"/>
      <c r="C528" s="94"/>
      <c r="D528" s="96"/>
      <c r="E528" s="96"/>
      <c r="F528" s="96"/>
      <c r="G528" s="96"/>
      <c r="H528" s="44"/>
      <c r="I528" s="3"/>
    </row>
    <row r="529" spans="1:11" ht="14.4" x14ac:dyDescent="0.3">
      <c r="A529" s="3"/>
      <c r="B529" s="10"/>
      <c r="C529" s="94"/>
      <c r="D529" s="96"/>
      <c r="E529" s="96"/>
      <c r="F529" s="96"/>
      <c r="G529" s="96"/>
      <c r="H529" s="44"/>
      <c r="I529" s="3"/>
    </row>
    <row r="530" spans="1:11" ht="18" x14ac:dyDescent="0.35">
      <c r="A530" s="3"/>
      <c r="C530" s="94"/>
      <c r="D530" s="183" t="s">
        <v>45</v>
      </c>
      <c r="E530" s="183"/>
      <c r="F530" s="183"/>
      <c r="G530" s="183"/>
      <c r="H530" s="183"/>
      <c r="I530" s="3"/>
    </row>
    <row r="531" spans="1:11" ht="15.6" x14ac:dyDescent="0.3">
      <c r="A531" s="37"/>
      <c r="B531" s="27" t="s">
        <v>57</v>
      </c>
      <c r="C531" s="95" t="s">
        <v>57</v>
      </c>
      <c r="D531" s="184" t="s">
        <v>64</v>
      </c>
      <c r="E531" s="184"/>
      <c r="F531" s="184"/>
      <c r="G531" s="184"/>
      <c r="H531" s="184"/>
      <c r="I531" s="37"/>
    </row>
    <row r="532" spans="1:11" ht="15.9" customHeight="1" x14ac:dyDescent="0.3">
      <c r="A532" s="3"/>
      <c r="B532" s="128" t="s">
        <v>84</v>
      </c>
      <c r="C532" s="128"/>
      <c r="D532" s="128"/>
      <c r="E532" s="128"/>
      <c r="F532" s="128"/>
      <c r="G532" s="128"/>
      <c r="H532" s="128"/>
      <c r="I532" s="3"/>
    </row>
    <row r="533" spans="1:11" ht="14.4" x14ac:dyDescent="0.3">
      <c r="A533" s="3"/>
      <c r="B533" s="15"/>
      <c r="C533" s="16"/>
      <c r="D533" s="118" t="s">
        <v>6</v>
      </c>
      <c r="E533" s="118"/>
      <c r="F533" s="118"/>
      <c r="G533" s="118"/>
      <c r="H533" s="181" t="s">
        <v>57</v>
      </c>
      <c r="I533" s="3"/>
    </row>
    <row r="534" spans="1:11" ht="14.4" x14ac:dyDescent="0.3">
      <c r="A534" s="3"/>
      <c r="B534" s="13"/>
      <c r="C534" s="14"/>
      <c r="D534" s="125" t="s">
        <v>9</v>
      </c>
      <c r="E534" s="125"/>
      <c r="F534" s="125"/>
      <c r="G534" s="125"/>
      <c r="H534" s="181"/>
      <c r="I534" s="3"/>
    </row>
    <row r="535" spans="1:11" ht="14.4" x14ac:dyDescent="0.3">
      <c r="A535" s="3"/>
      <c r="B535" s="132" t="s">
        <v>10</v>
      </c>
      <c r="C535" s="134" t="s">
        <v>11</v>
      </c>
      <c r="D535" s="62" t="s">
        <v>12</v>
      </c>
      <c r="E535" s="62" t="s">
        <v>13</v>
      </c>
      <c r="F535" s="62" t="s">
        <v>14</v>
      </c>
      <c r="G535" s="76" t="s">
        <v>15</v>
      </c>
      <c r="H535" s="176" t="s">
        <v>57</v>
      </c>
      <c r="I535" s="3"/>
    </row>
    <row r="536" spans="1:11" ht="14.4" x14ac:dyDescent="0.3">
      <c r="A536" s="3"/>
      <c r="B536" s="132"/>
      <c r="C536" s="134"/>
      <c r="D536" s="145" t="s">
        <v>20</v>
      </c>
      <c r="E536" s="145"/>
      <c r="F536" s="145"/>
      <c r="G536" s="145"/>
      <c r="H536" s="176"/>
      <c r="I536" s="3"/>
    </row>
    <row r="537" spans="1:11" ht="14.4" x14ac:dyDescent="0.3">
      <c r="A537" s="3"/>
      <c r="B537" s="42">
        <v>4</v>
      </c>
      <c r="C537" s="77" t="s">
        <v>21</v>
      </c>
      <c r="D537" s="26">
        <v>0</v>
      </c>
      <c r="E537" s="26">
        <v>0</v>
      </c>
      <c r="F537" s="26">
        <v>0</v>
      </c>
      <c r="G537" s="26">
        <v>0</v>
      </c>
      <c r="H537" s="81" t="s">
        <v>57</v>
      </c>
      <c r="I537" s="3"/>
    </row>
    <row r="538" spans="1:11" ht="14.4" x14ac:dyDescent="0.3">
      <c r="A538" s="3"/>
      <c r="B538" s="82">
        <v>5</v>
      </c>
      <c r="C538" s="83" t="s">
        <v>22</v>
      </c>
      <c r="D538" s="78">
        <v>79374.570000000007</v>
      </c>
      <c r="E538" s="26">
        <v>0</v>
      </c>
      <c r="F538" s="79">
        <f>+E538+D538</f>
        <v>79374.570000000007</v>
      </c>
      <c r="G538" s="80">
        <f>+F538</f>
        <v>79374.570000000007</v>
      </c>
      <c r="H538" s="81" t="s">
        <v>57</v>
      </c>
      <c r="I538" s="3"/>
    </row>
    <row r="539" spans="1:11" ht="14.4" x14ac:dyDescent="0.3">
      <c r="A539" s="3"/>
      <c r="B539" s="82">
        <v>6</v>
      </c>
      <c r="C539" s="83" t="s">
        <v>23</v>
      </c>
      <c r="D539" s="78">
        <v>40542.06</v>
      </c>
      <c r="E539" s="26">
        <v>0</v>
      </c>
      <c r="F539" s="79">
        <f>+E539+D539</f>
        <v>40542.06</v>
      </c>
      <c r="G539" s="80">
        <f>+G538+F539</f>
        <v>119916.63</v>
      </c>
      <c r="H539" s="81" t="s">
        <v>57</v>
      </c>
      <c r="I539" s="3"/>
    </row>
    <row r="540" spans="1:11" ht="14.4" x14ac:dyDescent="0.3">
      <c r="A540" s="3"/>
      <c r="B540" s="82">
        <v>7</v>
      </c>
      <c r="C540" s="83" t="s">
        <v>24</v>
      </c>
      <c r="D540" s="78">
        <v>47346.080000000002</v>
      </c>
      <c r="E540" s="26">
        <v>0</v>
      </c>
      <c r="F540" s="79">
        <f>+E540+D540</f>
        <v>47346.080000000002</v>
      </c>
      <c r="G540" s="80">
        <f>+G539+F540</f>
        <v>167262.71000000002</v>
      </c>
      <c r="H540" s="81" t="s">
        <v>57</v>
      </c>
      <c r="I540" s="3"/>
    </row>
    <row r="541" spans="1:11" ht="14.4" x14ac:dyDescent="0.3">
      <c r="A541" s="3"/>
      <c r="B541" s="42">
        <v>8</v>
      </c>
      <c r="C541" s="40" t="s">
        <v>25</v>
      </c>
      <c r="D541" s="26">
        <f>14452.51</f>
        <v>14452.51</v>
      </c>
      <c r="E541" s="26">
        <v>0</v>
      </c>
      <c r="F541" s="79">
        <f>+E541+D541</f>
        <v>14452.51</v>
      </c>
      <c r="G541" s="80">
        <f>+G540+F541</f>
        <v>181715.22000000003</v>
      </c>
      <c r="H541" s="81"/>
      <c r="I541" s="10"/>
      <c r="J541" s="3"/>
      <c r="K541" s="3"/>
    </row>
    <row r="542" spans="1:11" s="3" customFormat="1" ht="14.4" x14ac:dyDescent="0.3">
      <c r="B542" s="42">
        <v>9</v>
      </c>
      <c r="C542" s="40" t="s">
        <v>26</v>
      </c>
      <c r="D542" s="26">
        <v>120349.63</v>
      </c>
      <c r="E542" s="26">
        <v>0</v>
      </c>
      <c r="F542" s="49">
        <f t="shared" ref="F542:F559" si="28">+E542+D542</f>
        <v>120349.63</v>
      </c>
      <c r="G542" s="84">
        <f t="shared" ref="G542:G559" si="29">+G541+F542</f>
        <v>302064.85000000003</v>
      </c>
      <c r="H542" s="81"/>
      <c r="I542" s="44"/>
      <c r="J542" s="44"/>
    </row>
    <row r="543" spans="1:11" s="3" customFormat="1" ht="14.4" x14ac:dyDescent="0.3">
      <c r="B543" s="42">
        <v>10</v>
      </c>
      <c r="C543" s="40" t="s">
        <v>67</v>
      </c>
      <c r="D543" s="26">
        <v>25050.54</v>
      </c>
      <c r="E543" s="26">
        <v>0</v>
      </c>
      <c r="F543" s="49">
        <f t="shared" si="28"/>
        <v>25050.54</v>
      </c>
      <c r="G543" s="84">
        <f t="shared" si="29"/>
        <v>327115.39</v>
      </c>
      <c r="H543" s="81"/>
      <c r="I543" s="44"/>
      <c r="J543" s="44"/>
    </row>
    <row r="544" spans="1:11" s="3" customFormat="1" ht="14.4" x14ac:dyDescent="0.3">
      <c r="B544" s="42">
        <v>11</v>
      </c>
      <c r="C544" s="40" t="s">
        <v>68</v>
      </c>
      <c r="D544" s="26">
        <v>63316.56</v>
      </c>
      <c r="E544" s="26">
        <v>0</v>
      </c>
      <c r="F544" s="49">
        <f t="shared" si="28"/>
        <v>63316.56</v>
      </c>
      <c r="G544" s="84">
        <f t="shared" si="29"/>
        <v>390431.95</v>
      </c>
      <c r="H544" s="81"/>
      <c r="I544" s="44"/>
      <c r="J544" s="44"/>
    </row>
    <row r="545" spans="1:10" s="3" customFormat="1" ht="14.4" x14ac:dyDescent="0.3">
      <c r="B545" s="42">
        <v>12</v>
      </c>
      <c r="C545" s="40" t="s">
        <v>83</v>
      </c>
      <c r="D545" s="26">
        <v>162467.62</v>
      </c>
      <c r="E545" s="26">
        <v>0</v>
      </c>
      <c r="F545" s="49">
        <f t="shared" si="28"/>
        <v>162467.62</v>
      </c>
      <c r="G545" s="84">
        <f t="shared" si="29"/>
        <v>552899.57000000007</v>
      </c>
      <c r="H545" s="81"/>
      <c r="I545" s="44"/>
      <c r="J545" s="44"/>
    </row>
    <row r="546" spans="1:10" s="3" customFormat="1" ht="14.4" x14ac:dyDescent="0.3">
      <c r="B546" s="42">
        <v>13</v>
      </c>
      <c r="C546" s="40" t="s">
        <v>69</v>
      </c>
      <c r="D546" s="26">
        <v>114003.62</v>
      </c>
      <c r="E546" s="26">
        <v>0</v>
      </c>
      <c r="F546" s="49">
        <f t="shared" si="28"/>
        <v>114003.62</v>
      </c>
      <c r="G546" s="84">
        <f t="shared" si="29"/>
        <v>666903.19000000006</v>
      </c>
      <c r="H546" s="81"/>
      <c r="I546" s="44"/>
      <c r="J546" s="44"/>
    </row>
    <row r="547" spans="1:10" s="3" customFormat="1" ht="15.6" customHeight="1" x14ac:dyDescent="0.3">
      <c r="B547" s="42">
        <v>14</v>
      </c>
      <c r="C547" s="86" t="s">
        <v>70</v>
      </c>
      <c r="D547" s="26">
        <v>21540.05</v>
      </c>
      <c r="E547" s="26">
        <v>0</v>
      </c>
      <c r="F547" s="49">
        <f t="shared" si="28"/>
        <v>21540.05</v>
      </c>
      <c r="G547" s="84">
        <f t="shared" si="29"/>
        <v>688443.24000000011</v>
      </c>
      <c r="H547" s="81"/>
      <c r="I547" s="44"/>
      <c r="J547" s="44"/>
    </row>
    <row r="548" spans="1:10" s="3" customFormat="1" ht="14.4" hidden="1" x14ac:dyDescent="0.3">
      <c r="B548" s="42">
        <v>15</v>
      </c>
      <c r="C548" s="40" t="s">
        <v>71</v>
      </c>
      <c r="D548" s="26"/>
      <c r="E548" s="26"/>
      <c r="F548" s="49">
        <f t="shared" si="28"/>
        <v>0</v>
      </c>
      <c r="G548" s="84">
        <f t="shared" si="29"/>
        <v>688443.24000000011</v>
      </c>
      <c r="H548" s="81"/>
      <c r="I548" s="44"/>
      <c r="J548" s="44"/>
    </row>
    <row r="549" spans="1:10" s="3" customFormat="1" ht="14.4" hidden="1" x14ac:dyDescent="0.3">
      <c r="B549" s="42">
        <v>16</v>
      </c>
      <c r="C549" s="40" t="s">
        <v>72</v>
      </c>
      <c r="D549" s="26"/>
      <c r="E549" s="26"/>
      <c r="F549" s="49">
        <f t="shared" si="28"/>
        <v>0</v>
      </c>
      <c r="G549" s="84">
        <f t="shared" si="29"/>
        <v>688443.24000000011</v>
      </c>
      <c r="H549" s="81"/>
      <c r="I549" s="44"/>
      <c r="J549" s="44"/>
    </row>
    <row r="550" spans="1:10" s="3" customFormat="1" ht="14.4" hidden="1" x14ac:dyDescent="0.3">
      <c r="B550" s="42">
        <v>17</v>
      </c>
      <c r="C550" s="40" t="s">
        <v>73</v>
      </c>
      <c r="D550" s="26"/>
      <c r="E550" s="26"/>
      <c r="F550" s="49">
        <f t="shared" si="28"/>
        <v>0</v>
      </c>
      <c r="G550" s="84">
        <f t="shared" si="29"/>
        <v>688443.24000000011</v>
      </c>
      <c r="H550" s="81"/>
      <c r="I550" s="44"/>
      <c r="J550" s="44"/>
    </row>
    <row r="551" spans="1:10" s="3" customFormat="1" ht="14.4" hidden="1" x14ac:dyDescent="0.3">
      <c r="B551" s="42">
        <v>18</v>
      </c>
      <c r="C551" s="40" t="s">
        <v>74</v>
      </c>
      <c r="D551" s="26"/>
      <c r="E551" s="26"/>
      <c r="F551" s="49">
        <f t="shared" si="28"/>
        <v>0</v>
      </c>
      <c r="G551" s="84">
        <f t="shared" si="29"/>
        <v>688443.24000000011</v>
      </c>
      <c r="H551" s="81"/>
      <c r="I551" s="44"/>
      <c r="J551" s="44"/>
    </row>
    <row r="552" spans="1:10" s="3" customFormat="1" ht="14.4" hidden="1" x14ac:dyDescent="0.3">
      <c r="B552" s="42">
        <v>19</v>
      </c>
      <c r="C552" s="40" t="s">
        <v>75</v>
      </c>
      <c r="D552" s="26"/>
      <c r="E552" s="26"/>
      <c r="F552" s="49">
        <f t="shared" si="28"/>
        <v>0</v>
      </c>
      <c r="G552" s="84">
        <f t="shared" si="29"/>
        <v>688443.24000000011</v>
      </c>
      <c r="H552" s="81"/>
      <c r="I552" s="44"/>
      <c r="J552" s="44"/>
    </row>
    <row r="553" spans="1:10" s="3" customFormat="1" ht="14.4" hidden="1" x14ac:dyDescent="0.3">
      <c r="B553" s="42">
        <v>20</v>
      </c>
      <c r="C553" s="40" t="s">
        <v>76</v>
      </c>
      <c r="D553" s="26"/>
      <c r="E553" s="26"/>
      <c r="F553" s="49">
        <f t="shared" si="28"/>
        <v>0</v>
      </c>
      <c r="G553" s="84">
        <f t="shared" si="29"/>
        <v>688443.24000000011</v>
      </c>
      <c r="H553" s="81"/>
      <c r="I553" s="44"/>
      <c r="J553" s="44"/>
    </row>
    <row r="554" spans="1:10" s="3" customFormat="1" ht="14.4" hidden="1" x14ac:dyDescent="0.3">
      <c r="B554" s="42">
        <v>21</v>
      </c>
      <c r="C554" s="40" t="s">
        <v>77</v>
      </c>
      <c r="D554" s="26"/>
      <c r="E554" s="26"/>
      <c r="F554" s="49">
        <f t="shared" si="28"/>
        <v>0</v>
      </c>
      <c r="G554" s="84">
        <f t="shared" si="29"/>
        <v>688443.24000000011</v>
      </c>
      <c r="H554" s="81"/>
      <c r="I554" s="44"/>
      <c r="J554" s="44"/>
    </row>
    <row r="555" spans="1:10" s="3" customFormat="1" ht="14.4" hidden="1" x14ac:dyDescent="0.3">
      <c r="B555" s="42">
        <v>22</v>
      </c>
      <c r="C555" s="40" t="s">
        <v>78</v>
      </c>
      <c r="D555" s="26"/>
      <c r="E555" s="26"/>
      <c r="F555" s="49">
        <f t="shared" si="28"/>
        <v>0</v>
      </c>
      <c r="G555" s="84">
        <f t="shared" si="29"/>
        <v>688443.24000000011</v>
      </c>
      <c r="H555" s="81"/>
      <c r="I555" s="44"/>
      <c r="J555" s="44"/>
    </row>
    <row r="556" spans="1:10" s="3" customFormat="1" ht="14.4" hidden="1" x14ac:dyDescent="0.3">
      <c r="B556" s="42">
        <v>23</v>
      </c>
      <c r="C556" s="40" t="s">
        <v>79</v>
      </c>
      <c r="D556" s="26"/>
      <c r="E556" s="26"/>
      <c r="F556" s="49">
        <f t="shared" si="28"/>
        <v>0</v>
      </c>
      <c r="G556" s="84">
        <f t="shared" si="29"/>
        <v>688443.24000000011</v>
      </c>
      <c r="H556" s="81"/>
      <c r="I556" s="44"/>
      <c r="J556" s="44"/>
    </row>
    <row r="557" spans="1:10" s="3" customFormat="1" ht="14.4" hidden="1" x14ac:dyDescent="0.3">
      <c r="B557" s="42">
        <v>24</v>
      </c>
      <c r="C557" s="40" t="s">
        <v>80</v>
      </c>
      <c r="D557" s="26"/>
      <c r="E557" s="26"/>
      <c r="F557" s="49">
        <f t="shared" si="28"/>
        <v>0</v>
      </c>
      <c r="G557" s="84">
        <f t="shared" si="29"/>
        <v>688443.24000000011</v>
      </c>
      <c r="H557" s="81"/>
      <c r="I557" s="44"/>
      <c r="J557" s="44"/>
    </row>
    <row r="558" spans="1:10" s="3" customFormat="1" ht="14.4" hidden="1" x14ac:dyDescent="0.3">
      <c r="B558" s="42">
        <v>25</v>
      </c>
      <c r="C558" s="87" t="s">
        <v>81</v>
      </c>
      <c r="D558" s="26"/>
      <c r="E558" s="26"/>
      <c r="F558" s="49">
        <f t="shared" si="28"/>
        <v>0</v>
      </c>
      <c r="G558" s="84">
        <f t="shared" si="29"/>
        <v>688443.24000000011</v>
      </c>
      <c r="H558" s="81"/>
      <c r="I558" s="44"/>
      <c r="J558" s="44"/>
    </row>
    <row r="559" spans="1:10" s="3" customFormat="1" ht="14.4" hidden="1" x14ac:dyDescent="0.3">
      <c r="B559" s="42">
        <v>26</v>
      </c>
      <c r="C559" s="87" t="s">
        <v>82</v>
      </c>
      <c r="D559" s="33"/>
      <c r="E559" s="33"/>
      <c r="F559" s="66">
        <f t="shared" si="28"/>
        <v>0</v>
      </c>
      <c r="G559" s="88">
        <f t="shared" si="29"/>
        <v>688443.24000000011</v>
      </c>
      <c r="H559" s="81"/>
      <c r="I559" s="44"/>
      <c r="J559" s="44"/>
    </row>
    <row r="560" spans="1:10" ht="14.4" x14ac:dyDescent="0.3">
      <c r="A560" s="3"/>
      <c r="B560" s="5" t="s">
        <v>57</v>
      </c>
      <c r="C560" s="89" t="s">
        <v>57</v>
      </c>
      <c r="D560" s="90" t="s">
        <v>57</v>
      </c>
      <c r="E560" s="90" t="s">
        <v>57</v>
      </c>
      <c r="F560" s="90" t="s">
        <v>57</v>
      </c>
      <c r="G560" s="90" t="s">
        <v>57</v>
      </c>
      <c r="H560" s="6" t="s">
        <v>57</v>
      </c>
      <c r="I560" s="3"/>
    </row>
    <row r="561" spans="1:9" ht="14.4" x14ac:dyDescent="0.3">
      <c r="A561" s="3"/>
      <c r="B561" s="8" t="s">
        <v>39</v>
      </c>
      <c r="C561" s="91"/>
      <c r="D561" s="90" t="s">
        <v>57</v>
      </c>
      <c r="E561" s="90" t="s">
        <v>57</v>
      </c>
      <c r="F561" s="90" t="s">
        <v>57</v>
      </c>
      <c r="G561" s="90" t="s">
        <v>57</v>
      </c>
      <c r="H561" s="6" t="s">
        <v>57</v>
      </c>
      <c r="I561" s="3"/>
    </row>
    <row r="562" spans="1:9" ht="14.4" x14ac:dyDescent="0.3">
      <c r="A562" s="3"/>
      <c r="B562" s="9" t="s">
        <v>40</v>
      </c>
      <c r="C562" s="5"/>
      <c r="D562" s="6"/>
      <c r="E562" s="6"/>
      <c r="F562" s="92"/>
      <c r="G562" s="92"/>
      <c r="H562" s="93"/>
      <c r="I562" s="3"/>
    </row>
    <row r="563" spans="1:9" ht="14.4" x14ac:dyDescent="0.3">
      <c r="A563" s="3"/>
      <c r="B563" s="9" t="s">
        <v>41</v>
      </c>
      <c r="C563" s="5"/>
      <c r="D563" s="6"/>
      <c r="E563" s="6"/>
      <c r="F563" s="92"/>
      <c r="G563" s="90" t="s">
        <v>57</v>
      </c>
      <c r="H563" s="6" t="s">
        <v>57</v>
      </c>
      <c r="I563" s="3"/>
    </row>
    <row r="564" spans="1:9" ht="14.4" x14ac:dyDescent="0.3">
      <c r="A564" s="3"/>
      <c r="B564" s="9" t="s">
        <v>42</v>
      </c>
      <c r="C564" s="5"/>
      <c r="D564" s="6"/>
      <c r="E564" s="6"/>
      <c r="F564" s="90" t="s">
        <v>57</v>
      </c>
      <c r="G564" s="90" t="s">
        <v>57</v>
      </c>
      <c r="H564" s="6" t="s">
        <v>57</v>
      </c>
      <c r="I564" s="3"/>
    </row>
    <row r="565" spans="1:9" ht="14.4" x14ac:dyDescent="0.3">
      <c r="A565" s="3"/>
      <c r="B565" s="3"/>
      <c r="C565" s="73"/>
      <c r="D565" s="74"/>
      <c r="E565" s="74"/>
      <c r="F565" s="74"/>
      <c r="G565" s="74"/>
      <c r="H565" s="41"/>
      <c r="I565" s="3"/>
    </row>
    <row r="566" spans="1:9" ht="14.4" x14ac:dyDescent="0.3">
      <c r="A566" s="3"/>
      <c r="B566" s="3"/>
      <c r="C566" s="73"/>
      <c r="D566" s="74"/>
      <c r="E566" s="74"/>
      <c r="F566" s="74"/>
      <c r="G566" s="74"/>
      <c r="H566" s="41"/>
      <c r="I566" s="3"/>
    </row>
    <row r="567" spans="1:9" ht="18" x14ac:dyDescent="0.35">
      <c r="A567" s="3"/>
      <c r="C567" s="94"/>
      <c r="D567" s="178" t="s">
        <v>46</v>
      </c>
      <c r="E567" s="178"/>
      <c r="F567" s="178"/>
      <c r="G567" s="178"/>
      <c r="H567" s="178"/>
      <c r="I567" s="3"/>
    </row>
    <row r="568" spans="1:9" ht="15.6" x14ac:dyDescent="0.3">
      <c r="A568" s="37"/>
      <c r="B568" s="27" t="s">
        <v>57</v>
      </c>
      <c r="C568" s="95" t="s">
        <v>57</v>
      </c>
      <c r="D568" s="179" t="s">
        <v>64</v>
      </c>
      <c r="E568" s="179"/>
      <c r="F568" s="179"/>
      <c r="G568" s="179"/>
      <c r="H568" s="179"/>
      <c r="I568" s="37"/>
    </row>
    <row r="569" spans="1:9" ht="15.9" customHeight="1" x14ac:dyDescent="0.3">
      <c r="A569" s="3"/>
      <c r="B569" s="128" t="s">
        <v>84</v>
      </c>
      <c r="C569" s="128"/>
      <c r="D569" s="128"/>
      <c r="E569" s="128"/>
      <c r="F569" s="128"/>
      <c r="G569" s="128"/>
      <c r="H569" s="128"/>
      <c r="I569" s="3"/>
    </row>
    <row r="570" spans="1:9" ht="14.4" x14ac:dyDescent="0.3">
      <c r="A570" s="3"/>
      <c r="B570" s="15"/>
      <c r="C570" s="16"/>
      <c r="D570" s="118" t="s">
        <v>6</v>
      </c>
      <c r="E570" s="118"/>
      <c r="F570" s="118"/>
      <c r="G570" s="118"/>
      <c r="H570" s="181" t="s">
        <v>57</v>
      </c>
      <c r="I570" s="3"/>
    </row>
    <row r="571" spans="1:9" ht="14.4" x14ac:dyDescent="0.3">
      <c r="A571" s="3"/>
      <c r="B571" s="13"/>
      <c r="C571" s="14"/>
      <c r="D571" s="125" t="s">
        <v>9</v>
      </c>
      <c r="E571" s="125"/>
      <c r="F571" s="125"/>
      <c r="G571" s="125"/>
      <c r="H571" s="181"/>
      <c r="I571" s="3"/>
    </row>
    <row r="572" spans="1:9" ht="14.4" x14ac:dyDescent="0.3">
      <c r="A572" s="3"/>
      <c r="B572" s="132" t="s">
        <v>10</v>
      </c>
      <c r="C572" s="134" t="s">
        <v>11</v>
      </c>
      <c r="D572" s="62" t="s">
        <v>12</v>
      </c>
      <c r="E572" s="62" t="s">
        <v>13</v>
      </c>
      <c r="F572" s="62" t="s">
        <v>14</v>
      </c>
      <c r="G572" s="76" t="s">
        <v>15</v>
      </c>
      <c r="H572" s="176" t="s">
        <v>57</v>
      </c>
      <c r="I572" s="3"/>
    </row>
    <row r="573" spans="1:9" ht="14.4" x14ac:dyDescent="0.3">
      <c r="A573" s="3"/>
      <c r="B573" s="132"/>
      <c r="C573" s="134"/>
      <c r="D573" s="145" t="s">
        <v>20</v>
      </c>
      <c r="E573" s="145"/>
      <c r="F573" s="145"/>
      <c r="G573" s="145"/>
      <c r="H573" s="176"/>
      <c r="I573" s="3"/>
    </row>
    <row r="574" spans="1:9" ht="14.4" x14ac:dyDescent="0.3">
      <c r="A574" s="3"/>
      <c r="B574" s="42">
        <v>4</v>
      </c>
      <c r="C574" s="77" t="s">
        <v>21</v>
      </c>
      <c r="D574" s="78">
        <v>33002</v>
      </c>
      <c r="E574" s="26">
        <v>0</v>
      </c>
      <c r="F574" s="79">
        <f>+E574+D574</f>
        <v>33002</v>
      </c>
      <c r="G574" s="80">
        <f>+F574</f>
        <v>33002</v>
      </c>
      <c r="H574" s="81" t="s">
        <v>57</v>
      </c>
      <c r="I574" s="3"/>
    </row>
    <row r="575" spans="1:9" ht="14.4" x14ac:dyDescent="0.3">
      <c r="A575" s="3"/>
      <c r="B575" s="82">
        <v>5</v>
      </c>
      <c r="C575" s="83" t="s">
        <v>22</v>
      </c>
      <c r="D575" s="78">
        <v>50815.1</v>
      </c>
      <c r="E575" s="26">
        <v>0</v>
      </c>
      <c r="F575" s="79">
        <f>+E575+D575</f>
        <v>50815.1</v>
      </c>
      <c r="G575" s="80">
        <f>+G574+F575</f>
        <v>83817.100000000006</v>
      </c>
      <c r="H575" s="81" t="s">
        <v>57</v>
      </c>
      <c r="I575" s="3"/>
    </row>
    <row r="576" spans="1:9" ht="14.4" x14ac:dyDescent="0.3">
      <c r="A576" s="3"/>
      <c r="B576" s="82">
        <v>6</v>
      </c>
      <c r="C576" s="83" t="s">
        <v>23</v>
      </c>
      <c r="D576" s="78">
        <v>25972.55</v>
      </c>
      <c r="E576" s="26">
        <v>0</v>
      </c>
      <c r="F576" s="79">
        <f>+E576+D576</f>
        <v>25972.55</v>
      </c>
      <c r="G576" s="80">
        <f>+G575+F576</f>
        <v>109789.65000000001</v>
      </c>
      <c r="H576" s="81" t="s">
        <v>57</v>
      </c>
      <c r="I576" s="3"/>
    </row>
    <row r="577" spans="1:13" ht="14.4" x14ac:dyDescent="0.3">
      <c r="A577" s="3"/>
      <c r="B577" s="82">
        <v>7</v>
      </c>
      <c r="C577" s="83" t="s">
        <v>24</v>
      </c>
      <c r="D577" s="78">
        <v>36148.54</v>
      </c>
      <c r="E577" s="26">
        <v>0</v>
      </c>
      <c r="F577" s="79">
        <f>+E577+D577</f>
        <v>36148.54</v>
      </c>
      <c r="G577" s="80">
        <f>+G576+F577</f>
        <v>145938.19</v>
      </c>
      <c r="H577" s="81" t="s">
        <v>57</v>
      </c>
      <c r="I577" s="3"/>
    </row>
    <row r="578" spans="1:13" ht="14.4" x14ac:dyDescent="0.3">
      <c r="A578" s="3"/>
      <c r="B578" s="42">
        <v>8</v>
      </c>
      <c r="C578" s="40" t="s">
        <v>25</v>
      </c>
      <c r="D578" s="26">
        <v>100991.16</v>
      </c>
      <c r="E578" s="26">
        <v>0</v>
      </c>
      <c r="F578" s="79">
        <f>+E578+D578</f>
        <v>100991.16</v>
      </c>
      <c r="G578" s="80">
        <f>+G577+F578</f>
        <v>246929.35</v>
      </c>
      <c r="H578" s="81"/>
      <c r="I578" s="10"/>
      <c r="J578" s="3"/>
      <c r="K578" s="3"/>
    </row>
    <row r="579" spans="1:13" s="3" customFormat="1" ht="14.4" x14ac:dyDescent="0.3">
      <c r="B579" s="42">
        <v>9</v>
      </c>
      <c r="C579" s="40" t="s">
        <v>26</v>
      </c>
      <c r="D579" s="26">
        <v>35881.56</v>
      </c>
      <c r="E579" s="26">
        <v>0</v>
      </c>
      <c r="F579" s="49">
        <f t="shared" ref="F579:F596" si="30">+E579+D579</f>
        <v>35881.56</v>
      </c>
      <c r="G579" s="84">
        <f t="shared" ref="G579:G596" si="31">+G578+F579</f>
        <v>282810.91000000003</v>
      </c>
      <c r="H579" s="81"/>
      <c r="I579" s="44"/>
      <c r="J579" s="44"/>
    </row>
    <row r="580" spans="1:13" s="3" customFormat="1" ht="14.4" x14ac:dyDescent="0.3">
      <c r="B580" s="42">
        <v>10</v>
      </c>
      <c r="C580" s="109" t="s">
        <v>67</v>
      </c>
      <c r="D580" s="110">
        <v>21008.06</v>
      </c>
      <c r="E580" s="110">
        <v>0</v>
      </c>
      <c r="F580" s="111">
        <f t="shared" si="30"/>
        <v>21008.06</v>
      </c>
      <c r="G580" s="112">
        <f>+G579+F580</f>
        <v>303818.97000000003</v>
      </c>
      <c r="H580" s="81"/>
      <c r="I580" s="44"/>
      <c r="J580" s="44"/>
    </row>
    <row r="581" spans="1:13" ht="14.4" x14ac:dyDescent="0.3">
      <c r="B581" s="42">
        <v>11</v>
      </c>
      <c r="C581" s="77" t="s">
        <v>68</v>
      </c>
      <c r="D581" s="26">
        <v>49813</v>
      </c>
      <c r="E581" s="26">
        <v>0</v>
      </c>
      <c r="F581" s="49">
        <f t="shared" si="30"/>
        <v>49813</v>
      </c>
      <c r="G581" s="84">
        <f t="shared" ref="G581" si="32">+G580+F581</f>
        <v>353631.97000000003</v>
      </c>
      <c r="I581" s="94"/>
      <c r="J581" s="96"/>
      <c r="K581" s="96"/>
      <c r="L581" s="99"/>
      <c r="M581" s="96"/>
    </row>
    <row r="582" spans="1:13" s="3" customFormat="1" ht="14.4" x14ac:dyDescent="0.3">
      <c r="B582" s="82">
        <v>12</v>
      </c>
      <c r="C582" s="40" t="s">
        <v>83</v>
      </c>
      <c r="D582" s="21">
        <v>32327.05</v>
      </c>
      <c r="E582" s="21">
        <v>0</v>
      </c>
      <c r="F582" s="45">
        <f t="shared" si="30"/>
        <v>32327.05</v>
      </c>
      <c r="G582" s="113">
        <f>+G581+F582</f>
        <v>385959.02</v>
      </c>
      <c r="H582" s="81"/>
      <c r="I582" s="44"/>
      <c r="J582" s="44"/>
    </row>
    <row r="583" spans="1:13" s="3" customFormat="1" ht="14.4" x14ac:dyDescent="0.3">
      <c r="B583" s="42">
        <v>13</v>
      </c>
      <c r="C583" s="40" t="s">
        <v>69</v>
      </c>
      <c r="D583" s="26">
        <v>19436.52</v>
      </c>
      <c r="E583" s="26">
        <v>0</v>
      </c>
      <c r="F583" s="49">
        <f t="shared" si="30"/>
        <v>19436.52</v>
      </c>
      <c r="G583" s="84">
        <f t="shared" si="31"/>
        <v>405395.54000000004</v>
      </c>
      <c r="H583" s="81"/>
      <c r="I583" s="44"/>
      <c r="J583" s="44"/>
    </row>
    <row r="584" spans="1:13" s="3" customFormat="1" ht="18" customHeight="1" x14ac:dyDescent="0.3">
      <c r="B584" s="42">
        <v>14</v>
      </c>
      <c r="C584" s="86" t="s">
        <v>70</v>
      </c>
      <c r="D584" s="26">
        <v>51537.03</v>
      </c>
      <c r="E584" s="26">
        <v>0</v>
      </c>
      <c r="F584" s="49">
        <f t="shared" si="30"/>
        <v>51537.03</v>
      </c>
      <c r="G584" s="84">
        <f t="shared" si="31"/>
        <v>456932.57000000007</v>
      </c>
      <c r="H584" s="81"/>
      <c r="I584" s="44"/>
      <c r="J584" s="44"/>
    </row>
    <row r="585" spans="1:13" s="3" customFormat="1" ht="14.4" hidden="1" x14ac:dyDescent="0.3">
      <c r="B585" s="42">
        <v>15</v>
      </c>
      <c r="C585" s="40" t="s">
        <v>71</v>
      </c>
      <c r="D585" s="26"/>
      <c r="E585" s="26"/>
      <c r="F585" s="49">
        <f t="shared" si="30"/>
        <v>0</v>
      </c>
      <c r="G585" s="84">
        <f t="shared" si="31"/>
        <v>456932.57000000007</v>
      </c>
      <c r="H585" s="81"/>
      <c r="I585" s="44"/>
      <c r="J585" s="44"/>
    </row>
    <row r="586" spans="1:13" s="3" customFormat="1" ht="14.4" hidden="1" x14ac:dyDescent="0.3">
      <c r="B586" s="42">
        <v>16</v>
      </c>
      <c r="C586" s="40" t="s">
        <v>72</v>
      </c>
      <c r="D586" s="26"/>
      <c r="E586" s="26"/>
      <c r="F586" s="49">
        <f t="shared" si="30"/>
        <v>0</v>
      </c>
      <c r="G586" s="84">
        <f t="shared" si="31"/>
        <v>456932.57000000007</v>
      </c>
      <c r="H586" s="81"/>
      <c r="I586" s="44"/>
      <c r="J586" s="44"/>
    </row>
    <row r="587" spans="1:13" s="3" customFormat="1" ht="14.4" hidden="1" x14ac:dyDescent="0.3">
      <c r="B587" s="42">
        <v>17</v>
      </c>
      <c r="C587" s="40" t="s">
        <v>73</v>
      </c>
      <c r="D587" s="26"/>
      <c r="E587" s="26"/>
      <c r="F587" s="49">
        <f t="shared" si="30"/>
        <v>0</v>
      </c>
      <c r="G587" s="84">
        <f t="shared" si="31"/>
        <v>456932.57000000007</v>
      </c>
      <c r="H587" s="81"/>
      <c r="I587" s="44"/>
      <c r="J587" s="44"/>
    </row>
    <row r="588" spans="1:13" s="3" customFormat="1" ht="14.4" hidden="1" x14ac:dyDescent="0.3">
      <c r="B588" s="42">
        <v>18</v>
      </c>
      <c r="C588" s="40" t="s">
        <v>74</v>
      </c>
      <c r="D588" s="26"/>
      <c r="E588" s="26"/>
      <c r="F588" s="49">
        <f t="shared" si="30"/>
        <v>0</v>
      </c>
      <c r="G588" s="84">
        <f t="shared" si="31"/>
        <v>456932.57000000007</v>
      </c>
      <c r="H588" s="81"/>
      <c r="I588" s="44"/>
      <c r="J588" s="44"/>
    </row>
    <row r="589" spans="1:13" s="3" customFormat="1" ht="14.4" hidden="1" x14ac:dyDescent="0.3">
      <c r="B589" s="42">
        <v>19</v>
      </c>
      <c r="C589" s="40" t="s">
        <v>75</v>
      </c>
      <c r="D589" s="26"/>
      <c r="E589" s="26"/>
      <c r="F589" s="49">
        <f t="shared" si="30"/>
        <v>0</v>
      </c>
      <c r="G589" s="84">
        <f t="shared" si="31"/>
        <v>456932.57000000007</v>
      </c>
      <c r="H589" s="81"/>
      <c r="I589" s="44"/>
      <c r="J589" s="44"/>
    </row>
    <row r="590" spans="1:13" s="3" customFormat="1" ht="14.4" hidden="1" x14ac:dyDescent="0.3">
      <c r="B590" s="42">
        <v>20</v>
      </c>
      <c r="C590" s="40" t="s">
        <v>76</v>
      </c>
      <c r="D590" s="26"/>
      <c r="E590" s="26"/>
      <c r="F590" s="49">
        <f t="shared" si="30"/>
        <v>0</v>
      </c>
      <c r="G590" s="84">
        <f t="shared" si="31"/>
        <v>456932.57000000007</v>
      </c>
      <c r="H590" s="81"/>
      <c r="I590" s="44"/>
      <c r="J590" s="44"/>
    </row>
    <row r="591" spans="1:13" s="3" customFormat="1" ht="14.4" hidden="1" x14ac:dyDescent="0.3">
      <c r="B591" s="42">
        <v>21</v>
      </c>
      <c r="C591" s="40" t="s">
        <v>77</v>
      </c>
      <c r="D591" s="26"/>
      <c r="E591" s="26"/>
      <c r="F591" s="49">
        <f t="shared" si="30"/>
        <v>0</v>
      </c>
      <c r="G591" s="84">
        <f t="shared" si="31"/>
        <v>456932.57000000007</v>
      </c>
      <c r="H591" s="81"/>
      <c r="I591" s="44"/>
      <c r="J591" s="44"/>
    </row>
    <row r="592" spans="1:13" s="3" customFormat="1" ht="14.4" hidden="1" x14ac:dyDescent="0.3">
      <c r="B592" s="42">
        <v>22</v>
      </c>
      <c r="C592" s="40" t="s">
        <v>78</v>
      </c>
      <c r="D592" s="26"/>
      <c r="E592" s="26"/>
      <c r="F592" s="49">
        <f t="shared" si="30"/>
        <v>0</v>
      </c>
      <c r="G592" s="84">
        <f t="shared" si="31"/>
        <v>456932.57000000007</v>
      </c>
      <c r="H592" s="81"/>
      <c r="I592" s="44"/>
      <c r="J592" s="44"/>
    </row>
    <row r="593" spans="1:10" s="3" customFormat="1" ht="14.4" hidden="1" x14ac:dyDescent="0.3">
      <c r="B593" s="42">
        <v>23</v>
      </c>
      <c r="C593" s="40" t="s">
        <v>79</v>
      </c>
      <c r="D593" s="26"/>
      <c r="E593" s="26"/>
      <c r="F593" s="49">
        <f t="shared" si="30"/>
        <v>0</v>
      </c>
      <c r="G593" s="84">
        <f t="shared" si="31"/>
        <v>456932.57000000007</v>
      </c>
      <c r="H593" s="81"/>
      <c r="I593" s="44"/>
      <c r="J593" s="44"/>
    </row>
    <row r="594" spans="1:10" s="3" customFormat="1" ht="14.4" hidden="1" x14ac:dyDescent="0.3">
      <c r="B594" s="42">
        <v>24</v>
      </c>
      <c r="C594" s="40" t="s">
        <v>80</v>
      </c>
      <c r="D594" s="26"/>
      <c r="E594" s="26"/>
      <c r="F594" s="49">
        <f t="shared" si="30"/>
        <v>0</v>
      </c>
      <c r="G594" s="84">
        <f t="shared" si="31"/>
        <v>456932.57000000007</v>
      </c>
      <c r="H594" s="81"/>
      <c r="I594" s="44"/>
      <c r="J594" s="44"/>
    </row>
    <row r="595" spans="1:10" s="3" customFormat="1" ht="14.4" hidden="1" x14ac:dyDescent="0.3">
      <c r="B595" s="42">
        <v>25</v>
      </c>
      <c r="C595" s="87" t="s">
        <v>81</v>
      </c>
      <c r="D595" s="26"/>
      <c r="E595" s="26"/>
      <c r="F595" s="49">
        <f t="shared" si="30"/>
        <v>0</v>
      </c>
      <c r="G595" s="84">
        <f t="shared" si="31"/>
        <v>456932.57000000007</v>
      </c>
      <c r="H595" s="81"/>
      <c r="I595" s="44"/>
      <c r="J595" s="44"/>
    </row>
    <row r="596" spans="1:10" s="3" customFormat="1" ht="14.4" hidden="1" x14ac:dyDescent="0.3">
      <c r="B596" s="42">
        <v>26</v>
      </c>
      <c r="C596" s="87" t="s">
        <v>82</v>
      </c>
      <c r="D596" s="33"/>
      <c r="E596" s="33"/>
      <c r="F596" s="66">
        <f t="shared" si="30"/>
        <v>0</v>
      </c>
      <c r="G596" s="88">
        <f t="shared" si="31"/>
        <v>456932.57000000007</v>
      </c>
      <c r="H596" s="81"/>
      <c r="I596" s="44"/>
      <c r="J596" s="44"/>
    </row>
    <row r="597" spans="1:10" ht="14.4" x14ac:dyDescent="0.3">
      <c r="A597" s="3"/>
      <c r="B597" s="5" t="s">
        <v>57</v>
      </c>
      <c r="C597" s="89" t="s">
        <v>57</v>
      </c>
      <c r="D597" s="90" t="s">
        <v>57</v>
      </c>
      <c r="E597" s="90" t="s">
        <v>57</v>
      </c>
      <c r="F597" s="90" t="s">
        <v>57</v>
      </c>
      <c r="G597" s="90" t="s">
        <v>57</v>
      </c>
      <c r="H597" s="6" t="s">
        <v>57</v>
      </c>
      <c r="I597" s="3"/>
    </row>
    <row r="598" spans="1:10" ht="14.4" x14ac:dyDescent="0.3">
      <c r="A598" s="3"/>
      <c r="B598" s="8" t="s">
        <v>39</v>
      </c>
      <c r="C598" s="91"/>
      <c r="D598" s="90" t="s">
        <v>57</v>
      </c>
      <c r="E598" s="90" t="s">
        <v>57</v>
      </c>
      <c r="F598" s="90" t="s">
        <v>57</v>
      </c>
      <c r="G598" s="90" t="s">
        <v>57</v>
      </c>
      <c r="H598" s="6" t="s">
        <v>57</v>
      </c>
      <c r="I598" s="3"/>
    </row>
    <row r="599" spans="1:10" ht="14.4" x14ac:dyDescent="0.3">
      <c r="A599" s="3"/>
      <c r="B599" s="9" t="s">
        <v>40</v>
      </c>
      <c r="C599" s="5"/>
      <c r="D599" s="6"/>
      <c r="E599" s="6"/>
      <c r="F599" s="92"/>
      <c r="G599" s="92"/>
      <c r="H599" s="93"/>
      <c r="I599" s="3"/>
    </row>
    <row r="600" spans="1:10" ht="14.4" x14ac:dyDescent="0.3">
      <c r="A600" s="3"/>
      <c r="B600" s="9" t="s">
        <v>41</v>
      </c>
      <c r="C600" s="5"/>
      <c r="D600" s="6"/>
      <c r="E600" s="6"/>
      <c r="F600" s="92"/>
      <c r="G600" s="90" t="s">
        <v>57</v>
      </c>
      <c r="H600" s="6" t="s">
        <v>57</v>
      </c>
      <c r="I600" s="3"/>
    </row>
    <row r="601" spans="1:10" ht="14.4" x14ac:dyDescent="0.3">
      <c r="A601" s="3"/>
      <c r="B601" s="9" t="s">
        <v>42</v>
      </c>
      <c r="C601" s="5"/>
      <c r="D601" s="6"/>
      <c r="E601" s="6"/>
      <c r="F601" s="90" t="s">
        <v>57</v>
      </c>
      <c r="G601" s="90" t="s">
        <v>57</v>
      </c>
      <c r="H601" s="6" t="s">
        <v>57</v>
      </c>
      <c r="I601" s="3"/>
    </row>
    <row r="602" spans="1:10" ht="14.4" x14ac:dyDescent="0.3">
      <c r="A602" s="3"/>
      <c r="B602" s="3"/>
      <c r="C602" s="73"/>
      <c r="D602" s="74"/>
      <c r="E602" s="74"/>
      <c r="F602" s="74"/>
      <c r="G602" s="74"/>
      <c r="H602" s="41"/>
      <c r="I602" s="3"/>
    </row>
    <row r="603" spans="1:10" ht="14.4" x14ac:dyDescent="0.3">
      <c r="A603" s="3"/>
      <c r="B603" s="69" t="s">
        <v>65</v>
      </c>
      <c r="C603" s="70"/>
      <c r="D603" s="71"/>
      <c r="E603" s="71"/>
      <c r="F603" s="71"/>
      <c r="G603" s="71"/>
      <c r="H603" s="72"/>
      <c r="I603" s="3"/>
    </row>
    <row r="604" spans="1:10" ht="14.4" x14ac:dyDescent="0.3">
      <c r="A604" s="3"/>
      <c r="B604" s="69" t="s">
        <v>56</v>
      </c>
      <c r="C604" s="70"/>
      <c r="D604" s="71"/>
      <c r="E604" s="71" t="s">
        <v>57</v>
      </c>
      <c r="F604" s="71" t="s">
        <v>57</v>
      </c>
      <c r="G604" s="71" t="s">
        <v>57</v>
      </c>
      <c r="H604" s="72" t="s">
        <v>57</v>
      </c>
      <c r="I604" s="3"/>
    </row>
    <row r="605" spans="1:10" ht="14.4" x14ac:dyDescent="0.3">
      <c r="A605" s="3"/>
      <c r="B605" s="103"/>
      <c r="C605" s="104"/>
      <c r="D605" s="105"/>
      <c r="E605" s="105"/>
      <c r="F605" s="105"/>
      <c r="G605" s="105"/>
      <c r="H605" s="106"/>
      <c r="I605" s="3"/>
    </row>
    <row r="606" spans="1:10" ht="14.4" x14ac:dyDescent="0.3">
      <c r="A606" s="3"/>
      <c r="B606" s="3"/>
      <c r="C606" s="73"/>
      <c r="D606" s="74"/>
      <c r="E606" s="74"/>
      <c r="F606" s="74"/>
      <c r="G606" s="74"/>
      <c r="H606" s="41"/>
      <c r="I606" s="3"/>
    </row>
    <row r="607" spans="1:10" ht="14.4" x14ac:dyDescent="0.3">
      <c r="A607" s="3"/>
      <c r="B607" s="3"/>
      <c r="C607" s="73"/>
      <c r="D607" s="74"/>
      <c r="E607" s="74"/>
      <c r="F607" s="74"/>
      <c r="G607" s="74"/>
      <c r="H607" s="41"/>
      <c r="I607" s="3"/>
    </row>
    <row r="608" spans="1:10" ht="16.5" customHeight="1" x14ac:dyDescent="0.35">
      <c r="A608" s="34"/>
      <c r="B608" s="35" t="s">
        <v>57</v>
      </c>
      <c r="C608" s="75" t="s">
        <v>57</v>
      </c>
      <c r="D608" s="187" t="s">
        <v>66</v>
      </c>
      <c r="E608" s="187"/>
      <c r="F608" s="187"/>
      <c r="G608" s="187"/>
      <c r="H608" s="187"/>
      <c r="I608" s="2" t="s">
        <v>0</v>
      </c>
    </row>
    <row r="609" spans="1:11" ht="15.9" customHeight="1" x14ac:dyDescent="0.3">
      <c r="A609" s="3"/>
      <c r="B609" s="128" t="s">
        <v>84</v>
      </c>
      <c r="C609" s="128"/>
      <c r="D609" s="128"/>
      <c r="E609" s="128"/>
      <c r="F609" s="128"/>
      <c r="G609" s="128"/>
      <c r="H609" s="128"/>
      <c r="I609" s="2" t="s">
        <v>1</v>
      </c>
    </row>
    <row r="610" spans="1:11" ht="14.4" x14ac:dyDescent="0.3">
      <c r="A610" s="3"/>
      <c r="B610" s="15"/>
      <c r="C610" s="16"/>
      <c r="D610" s="118" t="s">
        <v>6</v>
      </c>
      <c r="E610" s="119"/>
      <c r="F610" s="119"/>
      <c r="G610" s="180"/>
      <c r="H610" s="181" t="s">
        <v>57</v>
      </c>
      <c r="I610" s="2" t="s">
        <v>2</v>
      </c>
    </row>
    <row r="611" spans="1:11" ht="14.4" x14ac:dyDescent="0.3">
      <c r="A611" s="3"/>
      <c r="B611" s="13"/>
      <c r="C611" s="14"/>
      <c r="D611" s="125" t="s">
        <v>9</v>
      </c>
      <c r="E611" s="126"/>
      <c r="F611" s="126"/>
      <c r="G611" s="182"/>
      <c r="H611" s="181"/>
      <c r="I611" s="2" t="s">
        <v>3</v>
      </c>
    </row>
    <row r="612" spans="1:11" ht="14.4" x14ac:dyDescent="0.3">
      <c r="A612" s="3"/>
      <c r="B612" s="132" t="s">
        <v>10</v>
      </c>
      <c r="C612" s="134" t="s">
        <v>11</v>
      </c>
      <c r="D612" s="62" t="s">
        <v>12</v>
      </c>
      <c r="E612" s="62" t="s">
        <v>13</v>
      </c>
      <c r="F612" s="62" t="s">
        <v>14</v>
      </c>
      <c r="G612" s="76" t="s">
        <v>15</v>
      </c>
      <c r="H612" s="176" t="s">
        <v>57</v>
      </c>
      <c r="I612" s="2" t="s">
        <v>4</v>
      </c>
    </row>
    <row r="613" spans="1:11" ht="14.4" x14ac:dyDescent="0.3">
      <c r="A613" s="3"/>
      <c r="B613" s="133"/>
      <c r="C613" s="135"/>
      <c r="D613" s="145" t="s">
        <v>20</v>
      </c>
      <c r="E613" s="146"/>
      <c r="F613" s="146"/>
      <c r="G613" s="177"/>
      <c r="H613" s="176"/>
      <c r="I613" s="3"/>
    </row>
    <row r="614" spans="1:11" ht="14.4" x14ac:dyDescent="0.3">
      <c r="A614" s="3"/>
      <c r="B614" s="42">
        <v>4</v>
      </c>
      <c r="C614" s="77" t="s">
        <v>21</v>
      </c>
      <c r="D614" s="78">
        <v>82728.69</v>
      </c>
      <c r="E614" s="26">
        <v>0</v>
      </c>
      <c r="F614" s="79">
        <f>+E614+D614</f>
        <v>82728.69</v>
      </c>
      <c r="G614" s="80">
        <f>+F614</f>
        <v>82728.69</v>
      </c>
      <c r="H614" s="81" t="s">
        <v>57</v>
      </c>
      <c r="I614" s="3"/>
    </row>
    <row r="615" spans="1:11" ht="14.4" x14ac:dyDescent="0.3">
      <c r="A615" s="3"/>
      <c r="B615" s="82">
        <v>5</v>
      </c>
      <c r="C615" s="83" t="s">
        <v>22</v>
      </c>
      <c r="D615" s="78">
        <v>43278.53</v>
      </c>
      <c r="E615" s="26">
        <v>0</v>
      </c>
      <c r="F615" s="79">
        <f>+E615+D615</f>
        <v>43278.53</v>
      </c>
      <c r="G615" s="80">
        <f>+G614+F615</f>
        <v>126007.22</v>
      </c>
      <c r="H615" s="81" t="s">
        <v>57</v>
      </c>
      <c r="I615" s="3"/>
    </row>
    <row r="616" spans="1:11" ht="14.4" x14ac:dyDescent="0.3">
      <c r="A616" s="3"/>
      <c r="B616" s="82">
        <v>6</v>
      </c>
      <c r="C616" s="83" t="s">
        <v>23</v>
      </c>
      <c r="D616" s="78">
        <v>243466.02</v>
      </c>
      <c r="E616" s="26">
        <v>0</v>
      </c>
      <c r="F616" s="79">
        <f>+E616+D616</f>
        <v>243466.02</v>
      </c>
      <c r="G616" s="80">
        <f>+G615+F616</f>
        <v>369473.24</v>
      </c>
      <c r="H616" s="81" t="s">
        <v>57</v>
      </c>
      <c r="I616" s="3"/>
    </row>
    <row r="617" spans="1:11" ht="14.4" x14ac:dyDescent="0.3">
      <c r="A617" s="3"/>
      <c r="B617" s="82">
        <v>7</v>
      </c>
      <c r="C617" s="83" t="s">
        <v>24</v>
      </c>
      <c r="D617" s="78">
        <v>128048.59</v>
      </c>
      <c r="E617" s="26">
        <f>144440.09-128048.59</f>
        <v>16391.5</v>
      </c>
      <c r="F617" s="79">
        <f>+E617+D617</f>
        <v>144440.09</v>
      </c>
      <c r="G617" s="80">
        <f>+G616+F617</f>
        <v>513913.32999999996</v>
      </c>
      <c r="H617" s="81" t="s">
        <v>57</v>
      </c>
      <c r="I617" s="3"/>
    </row>
    <row r="618" spans="1:11" ht="14.4" x14ac:dyDescent="0.3">
      <c r="A618" s="3"/>
      <c r="B618" s="42">
        <v>8</v>
      </c>
      <c r="C618" s="40" t="s">
        <v>25</v>
      </c>
      <c r="D618" s="26">
        <v>176977.01</v>
      </c>
      <c r="E618" s="26">
        <v>0</v>
      </c>
      <c r="F618" s="79">
        <f>+E618+D618</f>
        <v>176977.01</v>
      </c>
      <c r="G618" s="80">
        <f>+G617+F618</f>
        <v>690890.34</v>
      </c>
      <c r="H618" s="81"/>
      <c r="I618" s="10"/>
      <c r="J618" s="3"/>
      <c r="K618" s="3"/>
    </row>
    <row r="619" spans="1:11" s="3" customFormat="1" ht="14.4" x14ac:dyDescent="0.3">
      <c r="B619" s="42">
        <v>9</v>
      </c>
      <c r="C619" s="40" t="s">
        <v>26</v>
      </c>
      <c r="D619" s="26">
        <v>147726.51</v>
      </c>
      <c r="E619" s="26">
        <v>0</v>
      </c>
      <c r="F619" s="49">
        <f t="shared" ref="F619:F636" si="33">+E619+D619</f>
        <v>147726.51</v>
      </c>
      <c r="G619" s="84">
        <f t="shared" ref="G619:G636" si="34">+G618+F619</f>
        <v>838616.85</v>
      </c>
      <c r="H619" s="81"/>
      <c r="I619" s="44"/>
      <c r="J619" s="44"/>
    </row>
    <row r="620" spans="1:11" s="3" customFormat="1" ht="14.4" x14ac:dyDescent="0.3">
      <c r="B620" s="42">
        <v>10</v>
      </c>
      <c r="C620" s="40" t="s">
        <v>67</v>
      </c>
      <c r="D620" s="26">
        <v>153212.01999999999</v>
      </c>
      <c r="E620" s="26">
        <v>0</v>
      </c>
      <c r="F620" s="49">
        <f>+E620+D620</f>
        <v>153212.01999999999</v>
      </c>
      <c r="G620" s="84">
        <f>+G619+F620</f>
        <v>991828.87</v>
      </c>
      <c r="H620" s="81"/>
      <c r="I620" s="44"/>
      <c r="J620" s="44"/>
    </row>
    <row r="621" spans="1:11" s="3" customFormat="1" ht="15.75" customHeight="1" x14ac:dyDescent="0.3">
      <c r="B621" s="42">
        <v>11</v>
      </c>
      <c r="C621" s="40" t="s">
        <v>68</v>
      </c>
      <c r="D621" s="26">
        <v>61012.02</v>
      </c>
      <c r="E621" s="26">
        <v>0</v>
      </c>
      <c r="F621" s="49">
        <f t="shared" si="33"/>
        <v>61012.02</v>
      </c>
      <c r="G621" s="84">
        <f>+G620+F621</f>
        <v>1052840.8899999999</v>
      </c>
      <c r="H621" s="81"/>
      <c r="I621" s="44"/>
      <c r="J621" s="44"/>
    </row>
    <row r="622" spans="1:11" s="3" customFormat="1" ht="15.75" customHeight="1" x14ac:dyDescent="0.3">
      <c r="B622" s="42">
        <v>12</v>
      </c>
      <c r="C622" s="40" t="s">
        <v>83</v>
      </c>
      <c r="D622" s="26">
        <v>167377.04999999999</v>
      </c>
      <c r="E622" s="26">
        <v>0</v>
      </c>
      <c r="F622" s="49">
        <f t="shared" si="33"/>
        <v>167377.04999999999</v>
      </c>
      <c r="G622" s="84">
        <f t="shared" si="34"/>
        <v>1220217.94</v>
      </c>
      <c r="H622" s="81"/>
      <c r="I622" s="44"/>
      <c r="J622" s="44"/>
    </row>
    <row r="623" spans="1:11" s="3" customFormat="1" ht="15.75" customHeight="1" x14ac:dyDescent="0.3">
      <c r="B623" s="42">
        <v>13</v>
      </c>
      <c r="C623" s="40" t="s">
        <v>69</v>
      </c>
      <c r="D623" s="26">
        <v>99917.55</v>
      </c>
      <c r="E623" s="26">
        <v>0</v>
      </c>
      <c r="F623" s="49">
        <f t="shared" si="33"/>
        <v>99917.55</v>
      </c>
      <c r="G623" s="84">
        <f t="shared" si="34"/>
        <v>1320135.49</v>
      </c>
      <c r="H623" s="81"/>
      <c r="I623" s="44"/>
      <c r="J623" s="44"/>
    </row>
    <row r="624" spans="1:11" s="3" customFormat="1" ht="15.75" customHeight="1" x14ac:dyDescent="0.3">
      <c r="B624" s="42">
        <v>14</v>
      </c>
      <c r="C624" s="86" t="s">
        <v>70</v>
      </c>
      <c r="D624" s="26">
        <v>7466.5</v>
      </c>
      <c r="E624" s="26">
        <v>0</v>
      </c>
      <c r="F624" s="49">
        <f t="shared" si="33"/>
        <v>7466.5</v>
      </c>
      <c r="G624" s="84">
        <f t="shared" si="34"/>
        <v>1327601.99</v>
      </c>
      <c r="H624" s="81"/>
      <c r="I624" s="44"/>
      <c r="J624" s="44"/>
    </row>
    <row r="625" spans="1:10" s="3" customFormat="1" ht="15.75" hidden="1" customHeight="1" x14ac:dyDescent="0.3">
      <c r="B625" s="42">
        <v>15</v>
      </c>
      <c r="C625" s="40" t="s">
        <v>71</v>
      </c>
      <c r="D625" s="26"/>
      <c r="E625" s="26"/>
      <c r="F625" s="49">
        <f t="shared" si="33"/>
        <v>0</v>
      </c>
      <c r="G625" s="84">
        <f t="shared" si="34"/>
        <v>1327601.99</v>
      </c>
      <c r="H625" s="81"/>
      <c r="I625" s="44"/>
      <c r="J625" s="44"/>
    </row>
    <row r="626" spans="1:10" s="3" customFormat="1" ht="15.75" hidden="1" customHeight="1" x14ac:dyDescent="0.3">
      <c r="B626" s="42">
        <v>16</v>
      </c>
      <c r="C626" s="40" t="s">
        <v>72</v>
      </c>
      <c r="D626" s="26"/>
      <c r="E626" s="26"/>
      <c r="F626" s="49">
        <f t="shared" si="33"/>
        <v>0</v>
      </c>
      <c r="G626" s="84">
        <f t="shared" si="34"/>
        <v>1327601.99</v>
      </c>
      <c r="H626" s="81"/>
      <c r="I626" s="44"/>
      <c r="J626" s="44"/>
    </row>
    <row r="627" spans="1:10" s="3" customFormat="1" ht="15.75" hidden="1" customHeight="1" x14ac:dyDescent="0.3">
      <c r="B627" s="42">
        <v>17</v>
      </c>
      <c r="C627" s="40" t="s">
        <v>73</v>
      </c>
      <c r="D627" s="26"/>
      <c r="E627" s="26"/>
      <c r="F627" s="49">
        <f t="shared" si="33"/>
        <v>0</v>
      </c>
      <c r="G627" s="84">
        <f t="shared" si="34"/>
        <v>1327601.99</v>
      </c>
      <c r="H627" s="81"/>
      <c r="I627" s="44"/>
      <c r="J627" s="44"/>
    </row>
    <row r="628" spans="1:10" s="3" customFormat="1" ht="15.75" hidden="1" customHeight="1" x14ac:dyDescent="0.3">
      <c r="B628" s="42">
        <v>18</v>
      </c>
      <c r="C628" s="40" t="s">
        <v>74</v>
      </c>
      <c r="D628" s="26"/>
      <c r="E628" s="26"/>
      <c r="F628" s="49">
        <f t="shared" si="33"/>
        <v>0</v>
      </c>
      <c r="G628" s="84">
        <f t="shared" si="34"/>
        <v>1327601.99</v>
      </c>
      <c r="H628" s="81"/>
      <c r="I628" s="44"/>
      <c r="J628" s="44"/>
    </row>
    <row r="629" spans="1:10" s="3" customFormat="1" ht="15.75" hidden="1" customHeight="1" x14ac:dyDescent="0.3">
      <c r="B629" s="42">
        <v>19</v>
      </c>
      <c r="C629" s="40" t="s">
        <v>75</v>
      </c>
      <c r="D629" s="26"/>
      <c r="E629" s="26"/>
      <c r="F629" s="49">
        <f t="shared" si="33"/>
        <v>0</v>
      </c>
      <c r="G629" s="84">
        <f t="shared" si="34"/>
        <v>1327601.99</v>
      </c>
      <c r="H629" s="81"/>
      <c r="I629" s="44"/>
      <c r="J629" s="44"/>
    </row>
    <row r="630" spans="1:10" s="3" customFormat="1" ht="15.75" hidden="1" customHeight="1" x14ac:dyDescent="0.3">
      <c r="B630" s="42">
        <v>20</v>
      </c>
      <c r="C630" s="40" t="s">
        <v>76</v>
      </c>
      <c r="D630" s="26"/>
      <c r="E630" s="26"/>
      <c r="F630" s="49">
        <f t="shared" si="33"/>
        <v>0</v>
      </c>
      <c r="G630" s="84">
        <f t="shared" si="34"/>
        <v>1327601.99</v>
      </c>
      <c r="H630" s="81"/>
      <c r="I630" s="44"/>
      <c r="J630" s="44"/>
    </row>
    <row r="631" spans="1:10" s="3" customFormat="1" ht="15.75" hidden="1" customHeight="1" x14ac:dyDescent="0.3">
      <c r="B631" s="42">
        <v>21</v>
      </c>
      <c r="C631" s="40" t="s">
        <v>77</v>
      </c>
      <c r="D631" s="26"/>
      <c r="E631" s="26"/>
      <c r="F631" s="49">
        <f t="shared" si="33"/>
        <v>0</v>
      </c>
      <c r="G631" s="84">
        <f t="shared" si="34"/>
        <v>1327601.99</v>
      </c>
      <c r="H631" s="81"/>
      <c r="I631" s="44"/>
      <c r="J631" s="44"/>
    </row>
    <row r="632" spans="1:10" s="3" customFormat="1" ht="15.75" hidden="1" customHeight="1" x14ac:dyDescent="0.3">
      <c r="B632" s="42">
        <v>22</v>
      </c>
      <c r="C632" s="40" t="s">
        <v>78</v>
      </c>
      <c r="D632" s="26"/>
      <c r="E632" s="26"/>
      <c r="F632" s="49">
        <f t="shared" si="33"/>
        <v>0</v>
      </c>
      <c r="G632" s="84">
        <f t="shared" si="34"/>
        <v>1327601.99</v>
      </c>
      <c r="H632" s="81"/>
      <c r="I632" s="44"/>
      <c r="J632" s="44"/>
    </row>
    <row r="633" spans="1:10" s="3" customFormat="1" ht="15.75" hidden="1" customHeight="1" x14ac:dyDescent="0.3">
      <c r="B633" s="42">
        <v>23</v>
      </c>
      <c r="C633" s="40" t="s">
        <v>79</v>
      </c>
      <c r="D633" s="26"/>
      <c r="E633" s="26"/>
      <c r="F633" s="49">
        <f t="shared" si="33"/>
        <v>0</v>
      </c>
      <c r="G633" s="84">
        <f t="shared" si="34"/>
        <v>1327601.99</v>
      </c>
      <c r="H633" s="81"/>
      <c r="I633" s="44"/>
      <c r="J633" s="44"/>
    </row>
    <row r="634" spans="1:10" s="3" customFormat="1" ht="15.75" hidden="1" customHeight="1" x14ac:dyDescent="0.3">
      <c r="B634" s="42">
        <v>24</v>
      </c>
      <c r="C634" s="40" t="s">
        <v>80</v>
      </c>
      <c r="D634" s="26"/>
      <c r="E634" s="26"/>
      <c r="F634" s="49">
        <f t="shared" si="33"/>
        <v>0</v>
      </c>
      <c r="G634" s="84">
        <f t="shared" si="34"/>
        <v>1327601.99</v>
      </c>
      <c r="H634" s="81"/>
      <c r="I634" s="44"/>
      <c r="J634" s="44"/>
    </row>
    <row r="635" spans="1:10" s="3" customFormat="1" ht="15.75" hidden="1" customHeight="1" x14ac:dyDescent="0.3">
      <c r="B635" s="42">
        <v>25</v>
      </c>
      <c r="C635" s="87" t="s">
        <v>81</v>
      </c>
      <c r="D635" s="26"/>
      <c r="E635" s="26"/>
      <c r="F635" s="49">
        <f t="shared" si="33"/>
        <v>0</v>
      </c>
      <c r="G635" s="84">
        <f>+G634+F635</f>
        <v>1327601.99</v>
      </c>
      <c r="H635" s="81"/>
      <c r="I635" s="44"/>
      <c r="J635" s="44"/>
    </row>
    <row r="636" spans="1:10" s="3" customFormat="1" ht="15.75" hidden="1" customHeight="1" x14ac:dyDescent="0.3">
      <c r="B636" s="42">
        <v>26</v>
      </c>
      <c r="C636" s="87" t="s">
        <v>82</v>
      </c>
      <c r="D636" s="33"/>
      <c r="E636" s="33"/>
      <c r="F636" s="66">
        <f t="shared" si="33"/>
        <v>0</v>
      </c>
      <c r="G636" s="88">
        <f t="shared" si="34"/>
        <v>1327601.99</v>
      </c>
      <c r="H636" s="81"/>
      <c r="I636" s="44"/>
      <c r="J636" s="44"/>
    </row>
    <row r="637" spans="1:10" ht="15.75" customHeight="1" x14ac:dyDescent="0.3">
      <c r="A637" s="3"/>
      <c r="B637" s="5" t="s">
        <v>57</v>
      </c>
      <c r="C637" s="89" t="s">
        <v>57</v>
      </c>
      <c r="D637" s="90" t="s">
        <v>57</v>
      </c>
      <c r="E637" s="90" t="s">
        <v>57</v>
      </c>
      <c r="F637" s="90" t="s">
        <v>57</v>
      </c>
      <c r="G637" s="90" t="s">
        <v>57</v>
      </c>
      <c r="H637" s="6" t="s">
        <v>57</v>
      </c>
      <c r="I637" s="41"/>
    </row>
    <row r="638" spans="1:10" ht="14.4" x14ac:dyDescent="0.3">
      <c r="A638" s="3"/>
      <c r="B638" s="8" t="s">
        <v>39</v>
      </c>
      <c r="C638" s="91"/>
      <c r="D638" s="90" t="s">
        <v>57</v>
      </c>
      <c r="E638" s="90" t="s">
        <v>57</v>
      </c>
      <c r="F638" s="90" t="s">
        <v>57</v>
      </c>
      <c r="G638" s="90" t="s">
        <v>57</v>
      </c>
      <c r="H638" s="6" t="s">
        <v>57</v>
      </c>
      <c r="I638" s="3"/>
    </row>
    <row r="639" spans="1:10" ht="14.4" x14ac:dyDescent="0.3">
      <c r="A639" s="3"/>
      <c r="B639" s="9" t="s">
        <v>40</v>
      </c>
      <c r="C639" s="5"/>
      <c r="D639" s="6"/>
      <c r="E639" s="6"/>
      <c r="F639" s="92"/>
      <c r="G639" s="92"/>
      <c r="H639" s="93"/>
      <c r="I639" s="3"/>
    </row>
    <row r="640" spans="1:10" ht="14.4" x14ac:dyDescent="0.3">
      <c r="A640" s="3"/>
      <c r="B640" s="9" t="s">
        <v>41</v>
      </c>
      <c r="C640" s="5"/>
      <c r="D640" s="6"/>
      <c r="E640" s="6"/>
      <c r="F640" s="92"/>
      <c r="G640" s="90" t="s">
        <v>57</v>
      </c>
      <c r="H640" s="6" t="s">
        <v>57</v>
      </c>
      <c r="I640" s="3"/>
    </row>
    <row r="641" spans="1:15" ht="14.4" x14ac:dyDescent="0.3">
      <c r="A641" s="3"/>
      <c r="B641" s="9" t="s">
        <v>42</v>
      </c>
      <c r="C641" s="5"/>
      <c r="D641" s="6"/>
      <c r="E641" s="6"/>
      <c r="F641" s="90" t="s">
        <v>57</v>
      </c>
      <c r="G641" s="90" t="s">
        <v>57</v>
      </c>
      <c r="H641" s="6" t="s">
        <v>57</v>
      </c>
      <c r="I641" s="3"/>
    </row>
    <row r="642" spans="1:15" ht="14.4" x14ac:dyDescent="0.3">
      <c r="A642" s="3"/>
      <c r="B642" s="9" t="s">
        <v>57</v>
      </c>
      <c r="C642" s="89" t="s">
        <v>57</v>
      </c>
      <c r="D642" s="90" t="s">
        <v>57</v>
      </c>
      <c r="E642" s="90" t="s">
        <v>57</v>
      </c>
      <c r="F642" s="90" t="s">
        <v>57</v>
      </c>
      <c r="G642" s="90" t="s">
        <v>57</v>
      </c>
      <c r="H642" s="6" t="s">
        <v>57</v>
      </c>
      <c r="I642" s="3"/>
    </row>
    <row r="643" spans="1:15" ht="14.4" x14ac:dyDescent="0.3">
      <c r="A643" s="3"/>
      <c r="B643" s="9" t="s">
        <v>57</v>
      </c>
      <c r="C643" s="89" t="s">
        <v>57</v>
      </c>
      <c r="D643" s="90" t="s">
        <v>57</v>
      </c>
      <c r="E643" s="90" t="s">
        <v>57</v>
      </c>
      <c r="F643" s="90" t="s">
        <v>57</v>
      </c>
      <c r="G643" s="90" t="s">
        <v>57</v>
      </c>
      <c r="H643" s="6" t="s">
        <v>57</v>
      </c>
      <c r="I643" s="3"/>
    </row>
    <row r="644" spans="1:15" ht="18" x14ac:dyDescent="0.35">
      <c r="A644" s="3"/>
      <c r="C644" s="94"/>
      <c r="D644" s="185" t="s">
        <v>43</v>
      </c>
      <c r="E644" s="185"/>
      <c r="F644" s="185"/>
      <c r="G644" s="185"/>
      <c r="H644" s="185"/>
      <c r="I644" s="3"/>
    </row>
    <row r="645" spans="1:15" ht="15.6" x14ac:dyDescent="0.3">
      <c r="A645" s="37"/>
      <c r="B645" s="27" t="s">
        <v>57</v>
      </c>
      <c r="C645" s="95" t="s">
        <v>57</v>
      </c>
      <c r="D645" s="186" t="s">
        <v>66</v>
      </c>
      <c r="E645" s="186"/>
      <c r="F645" s="186"/>
      <c r="G645" s="186"/>
      <c r="H645" s="186"/>
      <c r="I645" s="37"/>
    </row>
    <row r="646" spans="1:15" ht="15.9" customHeight="1" x14ac:dyDescent="0.3">
      <c r="A646" s="3"/>
      <c r="B646" s="128" t="s">
        <v>84</v>
      </c>
      <c r="C646" s="128"/>
      <c r="D646" s="128"/>
      <c r="E646" s="128"/>
      <c r="F646" s="128"/>
      <c r="G646" s="128"/>
      <c r="H646" s="128"/>
      <c r="I646" s="3"/>
    </row>
    <row r="647" spans="1:15" ht="14.4" x14ac:dyDescent="0.3">
      <c r="A647" s="3"/>
      <c r="B647" s="15"/>
      <c r="C647" s="16"/>
      <c r="D647" s="118" t="s">
        <v>6</v>
      </c>
      <c r="E647" s="119"/>
      <c r="F647" s="119"/>
      <c r="G647" s="180"/>
      <c r="H647" s="181" t="s">
        <v>57</v>
      </c>
      <c r="I647" s="3"/>
    </row>
    <row r="648" spans="1:15" ht="14.4" x14ac:dyDescent="0.3">
      <c r="A648" s="3"/>
      <c r="B648" s="13"/>
      <c r="C648" s="14"/>
      <c r="D648" s="125" t="s">
        <v>9</v>
      </c>
      <c r="E648" s="126"/>
      <c r="F648" s="126"/>
      <c r="G648" s="182"/>
      <c r="H648" s="181"/>
      <c r="I648" s="3"/>
    </row>
    <row r="649" spans="1:15" ht="14.4" x14ac:dyDescent="0.3">
      <c r="A649" s="3"/>
      <c r="B649" s="132" t="s">
        <v>10</v>
      </c>
      <c r="C649" s="134" t="s">
        <v>11</v>
      </c>
      <c r="D649" s="62" t="s">
        <v>12</v>
      </c>
      <c r="E649" s="62" t="s">
        <v>13</v>
      </c>
      <c r="F649" s="62" t="s">
        <v>14</v>
      </c>
      <c r="G649" s="76" t="s">
        <v>15</v>
      </c>
      <c r="H649" s="176" t="s">
        <v>57</v>
      </c>
      <c r="I649" s="3"/>
    </row>
    <row r="650" spans="1:15" ht="14.4" x14ac:dyDescent="0.3">
      <c r="A650" s="3"/>
      <c r="B650" s="133"/>
      <c r="C650" s="135"/>
      <c r="D650" s="145" t="s">
        <v>20</v>
      </c>
      <c r="E650" s="146"/>
      <c r="F650" s="146"/>
      <c r="G650" s="177"/>
      <c r="H650" s="176"/>
      <c r="I650" s="3"/>
      <c r="N650" s="107"/>
    </row>
    <row r="651" spans="1:15" ht="14.4" x14ac:dyDescent="0.3">
      <c r="A651" s="3"/>
      <c r="B651" s="42">
        <v>4</v>
      </c>
      <c r="C651" s="77" t="s">
        <v>21</v>
      </c>
      <c r="D651" s="78">
        <v>82728.69</v>
      </c>
      <c r="E651" s="26">
        <v>0</v>
      </c>
      <c r="F651" s="79">
        <f>+E651+D651</f>
        <v>82728.69</v>
      </c>
      <c r="G651" s="80">
        <f>+F651</f>
        <v>82728.69</v>
      </c>
      <c r="H651" s="81" t="s">
        <v>57</v>
      </c>
      <c r="I651" s="3"/>
    </row>
    <row r="652" spans="1:15" ht="14.4" x14ac:dyDescent="0.3">
      <c r="A652" s="3"/>
      <c r="B652" s="82">
        <v>5</v>
      </c>
      <c r="C652" s="83" t="s">
        <v>22</v>
      </c>
      <c r="D652" s="78">
        <v>20474.5</v>
      </c>
      <c r="E652" s="26">
        <v>0</v>
      </c>
      <c r="F652" s="79">
        <f>+E652+D652</f>
        <v>20474.5</v>
      </c>
      <c r="G652" s="80">
        <f>+G651+F652</f>
        <v>103203.19</v>
      </c>
      <c r="H652" s="81" t="s">
        <v>57</v>
      </c>
      <c r="I652" s="3"/>
    </row>
    <row r="653" spans="1:15" ht="14.4" x14ac:dyDescent="0.3">
      <c r="A653" s="3"/>
      <c r="B653" s="82">
        <v>6</v>
      </c>
      <c r="C653" s="83" t="s">
        <v>23</v>
      </c>
      <c r="D653" s="78">
        <v>229438</v>
      </c>
      <c r="E653" s="26">
        <v>0</v>
      </c>
      <c r="F653" s="79">
        <f>+E653+D653</f>
        <v>229438</v>
      </c>
      <c r="G653" s="80">
        <f>+G652+F653</f>
        <v>332641.19</v>
      </c>
      <c r="H653" s="81" t="s">
        <v>57</v>
      </c>
      <c r="I653" s="3"/>
      <c r="O653" s="108"/>
    </row>
    <row r="654" spans="1:15" ht="14.4" x14ac:dyDescent="0.3">
      <c r="A654" s="3"/>
      <c r="B654" s="82">
        <v>7</v>
      </c>
      <c r="C654" s="83" t="s">
        <v>24</v>
      </c>
      <c r="D654" s="78">
        <v>98529.51</v>
      </c>
      <c r="E654" s="26">
        <f>114921.01-98529.51</f>
        <v>16391.5</v>
      </c>
      <c r="F654" s="79">
        <f>+E654+D654</f>
        <v>114921.01</v>
      </c>
      <c r="G654" s="80">
        <f>+G653+F654</f>
        <v>447562.2</v>
      </c>
      <c r="H654" s="81" t="s">
        <v>57</v>
      </c>
      <c r="I654" s="3"/>
    </row>
    <row r="655" spans="1:15" ht="14.4" x14ac:dyDescent="0.3">
      <c r="A655" s="3"/>
      <c r="B655" s="42">
        <v>8</v>
      </c>
      <c r="C655" s="40" t="s">
        <v>25</v>
      </c>
      <c r="D655" s="26">
        <v>152870</v>
      </c>
      <c r="E655" s="26">
        <v>0</v>
      </c>
      <c r="F655" s="79">
        <f>+E655+D655</f>
        <v>152870</v>
      </c>
      <c r="G655" s="80">
        <f>+G654+F655</f>
        <v>600432.19999999995</v>
      </c>
      <c r="H655" s="81"/>
      <c r="I655" s="10"/>
      <c r="J655" s="3"/>
      <c r="K655" s="3"/>
    </row>
    <row r="656" spans="1:15" s="3" customFormat="1" ht="14.4" x14ac:dyDescent="0.3">
      <c r="B656" s="42">
        <v>9</v>
      </c>
      <c r="C656" s="40" t="s">
        <v>26</v>
      </c>
      <c r="D656" s="26">
        <v>145564</v>
      </c>
      <c r="E656" s="26">
        <v>0</v>
      </c>
      <c r="F656" s="49">
        <f t="shared" ref="F656:F673" si="35">+E656+D656</f>
        <v>145564</v>
      </c>
      <c r="G656" s="84">
        <f t="shared" ref="G656:G673" si="36">+G655+F656</f>
        <v>745996.2</v>
      </c>
      <c r="H656" s="81"/>
      <c r="I656" s="44"/>
      <c r="J656" s="44"/>
    </row>
    <row r="657" spans="2:10" s="3" customFormat="1" ht="14.4" x14ac:dyDescent="0.3">
      <c r="B657" s="42">
        <v>10</v>
      </c>
      <c r="C657" s="40" t="s">
        <v>67</v>
      </c>
      <c r="D657" s="26">
        <v>153212.01999999999</v>
      </c>
      <c r="E657" s="26">
        <v>0</v>
      </c>
      <c r="F657" s="49">
        <f t="shared" si="35"/>
        <v>153212.01999999999</v>
      </c>
      <c r="G657" s="84">
        <f t="shared" si="36"/>
        <v>899208.22</v>
      </c>
      <c r="H657" s="81"/>
      <c r="I657" s="44"/>
      <c r="J657" s="44"/>
    </row>
    <row r="658" spans="2:10" s="3" customFormat="1" ht="14.4" x14ac:dyDescent="0.3">
      <c r="B658" s="42">
        <v>11</v>
      </c>
      <c r="C658" s="40" t="s">
        <v>68</v>
      </c>
      <c r="D658" s="26">
        <v>51524</v>
      </c>
      <c r="E658" s="26">
        <v>0</v>
      </c>
      <c r="F658" s="49">
        <f t="shared" si="35"/>
        <v>51524</v>
      </c>
      <c r="G658" s="84">
        <f>+G657+F658</f>
        <v>950732.22</v>
      </c>
      <c r="H658" s="81"/>
      <c r="I658" s="44"/>
      <c r="J658" s="44"/>
    </row>
    <row r="659" spans="2:10" s="3" customFormat="1" ht="14.4" x14ac:dyDescent="0.3">
      <c r="B659" s="42">
        <v>12</v>
      </c>
      <c r="C659" s="40" t="s">
        <v>83</v>
      </c>
      <c r="D659" s="26">
        <v>163599.54</v>
      </c>
      <c r="E659" s="26">
        <v>0</v>
      </c>
      <c r="F659" s="49">
        <f t="shared" si="35"/>
        <v>163599.54</v>
      </c>
      <c r="G659" s="84">
        <f t="shared" si="36"/>
        <v>1114331.76</v>
      </c>
      <c r="H659" s="81"/>
      <c r="I659" s="44"/>
      <c r="J659" s="44"/>
    </row>
    <row r="660" spans="2:10" s="3" customFormat="1" ht="14.4" x14ac:dyDescent="0.3">
      <c r="B660" s="42">
        <v>13</v>
      </c>
      <c r="C660" s="40" t="s">
        <v>69</v>
      </c>
      <c r="D660" s="26">
        <v>99917.55</v>
      </c>
      <c r="E660" s="26">
        <v>0</v>
      </c>
      <c r="F660" s="49">
        <f t="shared" si="35"/>
        <v>99917.55</v>
      </c>
      <c r="G660" s="84">
        <f t="shared" si="36"/>
        <v>1214249.31</v>
      </c>
      <c r="H660" s="81"/>
      <c r="I660" s="44"/>
      <c r="J660" s="44"/>
    </row>
    <row r="661" spans="2:10" s="3" customFormat="1" ht="18" customHeight="1" x14ac:dyDescent="0.3">
      <c r="B661" s="42">
        <v>14</v>
      </c>
      <c r="C661" s="86" t="s">
        <v>70</v>
      </c>
      <c r="D661" s="26">
        <v>7466.5</v>
      </c>
      <c r="E661" s="26">
        <v>0</v>
      </c>
      <c r="F661" s="49">
        <f t="shared" si="35"/>
        <v>7466.5</v>
      </c>
      <c r="G661" s="84">
        <f t="shared" si="36"/>
        <v>1221715.81</v>
      </c>
      <c r="H661" s="81"/>
      <c r="I661" s="44"/>
      <c r="J661" s="44"/>
    </row>
    <row r="662" spans="2:10" s="3" customFormat="1" ht="14.4" hidden="1" x14ac:dyDescent="0.3">
      <c r="B662" s="42">
        <v>15</v>
      </c>
      <c r="C662" s="40" t="s">
        <v>71</v>
      </c>
      <c r="D662" s="26"/>
      <c r="E662" s="26"/>
      <c r="F662" s="49">
        <f t="shared" si="35"/>
        <v>0</v>
      </c>
      <c r="G662" s="84">
        <f t="shared" si="36"/>
        <v>1221715.81</v>
      </c>
      <c r="H662" s="81"/>
      <c r="I662" s="44"/>
      <c r="J662" s="44"/>
    </row>
    <row r="663" spans="2:10" s="3" customFormat="1" ht="14.4" hidden="1" x14ac:dyDescent="0.3">
      <c r="B663" s="42">
        <v>16</v>
      </c>
      <c r="C663" s="40" t="s">
        <v>72</v>
      </c>
      <c r="D663" s="26"/>
      <c r="E663" s="26"/>
      <c r="F663" s="49">
        <f t="shared" si="35"/>
        <v>0</v>
      </c>
      <c r="G663" s="84">
        <f t="shared" si="36"/>
        <v>1221715.81</v>
      </c>
      <c r="H663" s="81"/>
      <c r="I663" s="44"/>
      <c r="J663" s="44"/>
    </row>
    <row r="664" spans="2:10" s="3" customFormat="1" ht="14.4" hidden="1" x14ac:dyDescent="0.3">
      <c r="B664" s="42">
        <v>17</v>
      </c>
      <c r="C664" s="40" t="s">
        <v>73</v>
      </c>
      <c r="D664" s="26"/>
      <c r="E664" s="26"/>
      <c r="F664" s="49">
        <f t="shared" si="35"/>
        <v>0</v>
      </c>
      <c r="G664" s="84">
        <f t="shared" si="36"/>
        <v>1221715.81</v>
      </c>
      <c r="H664" s="81"/>
      <c r="I664" s="44"/>
      <c r="J664" s="44"/>
    </row>
    <row r="665" spans="2:10" s="3" customFormat="1" ht="14.4" hidden="1" x14ac:dyDescent="0.3">
      <c r="B665" s="42">
        <v>18</v>
      </c>
      <c r="C665" s="40" t="s">
        <v>74</v>
      </c>
      <c r="D665" s="26"/>
      <c r="E665" s="26"/>
      <c r="F665" s="49">
        <f t="shared" si="35"/>
        <v>0</v>
      </c>
      <c r="G665" s="84">
        <f t="shared" si="36"/>
        <v>1221715.81</v>
      </c>
      <c r="H665" s="81"/>
      <c r="I665" s="44"/>
      <c r="J665" s="44"/>
    </row>
    <row r="666" spans="2:10" s="3" customFormat="1" ht="14.4" hidden="1" x14ac:dyDescent="0.3">
      <c r="B666" s="42">
        <v>19</v>
      </c>
      <c r="C666" s="40" t="s">
        <v>75</v>
      </c>
      <c r="D666" s="26"/>
      <c r="E666" s="26"/>
      <c r="F666" s="49">
        <f t="shared" si="35"/>
        <v>0</v>
      </c>
      <c r="G666" s="84">
        <f t="shared" si="36"/>
        <v>1221715.81</v>
      </c>
      <c r="H666" s="81"/>
      <c r="I666" s="44"/>
      <c r="J666" s="44"/>
    </row>
    <row r="667" spans="2:10" s="3" customFormat="1" ht="14.4" hidden="1" x14ac:dyDescent="0.3">
      <c r="B667" s="42">
        <v>20</v>
      </c>
      <c r="C667" s="40" t="s">
        <v>76</v>
      </c>
      <c r="D667" s="26"/>
      <c r="E667" s="26"/>
      <c r="F667" s="49">
        <f t="shared" si="35"/>
        <v>0</v>
      </c>
      <c r="G667" s="84">
        <f t="shared" si="36"/>
        <v>1221715.81</v>
      </c>
      <c r="H667" s="81"/>
      <c r="I667" s="44"/>
      <c r="J667" s="44"/>
    </row>
    <row r="668" spans="2:10" s="3" customFormat="1" ht="14.4" hidden="1" x14ac:dyDescent="0.3">
      <c r="B668" s="42">
        <v>21</v>
      </c>
      <c r="C668" s="40" t="s">
        <v>77</v>
      </c>
      <c r="D668" s="26"/>
      <c r="E668" s="26"/>
      <c r="F668" s="49">
        <f t="shared" si="35"/>
        <v>0</v>
      </c>
      <c r="G668" s="84">
        <f t="shared" si="36"/>
        <v>1221715.81</v>
      </c>
      <c r="H668" s="81"/>
      <c r="I668" s="44"/>
      <c r="J668" s="44"/>
    </row>
    <row r="669" spans="2:10" s="3" customFormat="1" ht="14.4" hidden="1" x14ac:dyDescent="0.3">
      <c r="B669" s="42">
        <v>22</v>
      </c>
      <c r="C669" s="40" t="s">
        <v>78</v>
      </c>
      <c r="D669" s="26"/>
      <c r="E669" s="26"/>
      <c r="F669" s="49">
        <f t="shared" si="35"/>
        <v>0</v>
      </c>
      <c r="G669" s="84">
        <f t="shared" si="36"/>
        <v>1221715.81</v>
      </c>
      <c r="H669" s="81"/>
      <c r="I669" s="44"/>
      <c r="J669" s="44"/>
    </row>
    <row r="670" spans="2:10" s="3" customFormat="1" ht="14.4" hidden="1" x14ac:dyDescent="0.3">
      <c r="B670" s="42">
        <v>23</v>
      </c>
      <c r="C670" s="40" t="s">
        <v>79</v>
      </c>
      <c r="D670" s="26"/>
      <c r="E670" s="26"/>
      <c r="F670" s="49">
        <f t="shared" si="35"/>
        <v>0</v>
      </c>
      <c r="G670" s="84">
        <f t="shared" si="36"/>
        <v>1221715.81</v>
      </c>
      <c r="H670" s="81"/>
      <c r="I670" s="44"/>
      <c r="J670" s="44"/>
    </row>
    <row r="671" spans="2:10" s="3" customFormat="1" ht="14.4" hidden="1" x14ac:dyDescent="0.3">
      <c r="B671" s="42">
        <v>24</v>
      </c>
      <c r="C671" s="40" t="s">
        <v>80</v>
      </c>
      <c r="D671" s="26"/>
      <c r="E671" s="26"/>
      <c r="F671" s="49">
        <f t="shared" si="35"/>
        <v>0</v>
      </c>
      <c r="G671" s="84">
        <f t="shared" si="36"/>
        <v>1221715.81</v>
      </c>
      <c r="H671" s="81"/>
      <c r="I671" s="44"/>
      <c r="J671" s="44"/>
    </row>
    <row r="672" spans="2:10" s="3" customFormat="1" ht="14.4" hidden="1" x14ac:dyDescent="0.3">
      <c r="B672" s="42">
        <v>25</v>
      </c>
      <c r="C672" s="87" t="s">
        <v>81</v>
      </c>
      <c r="D672" s="26"/>
      <c r="E672" s="26"/>
      <c r="F672" s="49">
        <f t="shared" si="35"/>
        <v>0</v>
      </c>
      <c r="G672" s="84">
        <f t="shared" si="36"/>
        <v>1221715.81</v>
      </c>
      <c r="H672" s="81"/>
      <c r="I672" s="44"/>
      <c r="J672" s="44"/>
    </row>
    <row r="673" spans="1:10" s="3" customFormat="1" ht="14.4" hidden="1" x14ac:dyDescent="0.3">
      <c r="B673" s="42">
        <v>26</v>
      </c>
      <c r="C673" s="87" t="s">
        <v>82</v>
      </c>
      <c r="D673" s="33"/>
      <c r="E673" s="33"/>
      <c r="F673" s="66">
        <f t="shared" si="35"/>
        <v>0</v>
      </c>
      <c r="G673" s="88">
        <f t="shared" si="36"/>
        <v>1221715.81</v>
      </c>
      <c r="H673" s="81"/>
      <c r="I673" s="44"/>
      <c r="J673" s="44"/>
    </row>
    <row r="674" spans="1:10" ht="14.4" x14ac:dyDescent="0.3">
      <c r="A674" s="3"/>
      <c r="B674" s="5" t="s">
        <v>57</v>
      </c>
      <c r="C674" s="89" t="s">
        <v>57</v>
      </c>
      <c r="D674" s="90" t="s">
        <v>57</v>
      </c>
      <c r="E674" s="90" t="s">
        <v>57</v>
      </c>
      <c r="F674" s="90" t="s">
        <v>57</v>
      </c>
      <c r="G674" s="90" t="s">
        <v>57</v>
      </c>
      <c r="H674" s="6" t="s">
        <v>57</v>
      </c>
      <c r="I674" s="3"/>
    </row>
    <row r="675" spans="1:10" ht="14.4" x14ac:dyDescent="0.3">
      <c r="A675" s="3"/>
      <c r="B675" s="8" t="s">
        <v>39</v>
      </c>
      <c r="C675" s="91"/>
      <c r="D675" s="90" t="s">
        <v>57</v>
      </c>
      <c r="E675" s="90" t="s">
        <v>57</v>
      </c>
      <c r="F675" s="90" t="s">
        <v>57</v>
      </c>
      <c r="G675" s="90" t="s">
        <v>57</v>
      </c>
      <c r="H675" s="6" t="s">
        <v>57</v>
      </c>
      <c r="I675" s="3"/>
    </row>
    <row r="676" spans="1:10" ht="14.4" x14ac:dyDescent="0.3">
      <c r="A676" s="3"/>
      <c r="B676" s="9" t="s">
        <v>40</v>
      </c>
      <c r="C676" s="5"/>
      <c r="D676" s="6"/>
      <c r="E676" s="6"/>
      <c r="F676" s="92"/>
      <c r="G676" s="92"/>
      <c r="H676" s="93"/>
      <c r="I676" s="3"/>
    </row>
    <row r="677" spans="1:10" ht="14.4" x14ac:dyDescent="0.3">
      <c r="A677" s="3"/>
      <c r="B677" s="9" t="s">
        <v>41</v>
      </c>
      <c r="C677" s="5"/>
      <c r="D677" s="6"/>
      <c r="E677" s="6"/>
      <c r="F677" s="92"/>
      <c r="G677" s="90" t="s">
        <v>57</v>
      </c>
      <c r="H677" s="6" t="s">
        <v>57</v>
      </c>
      <c r="I677" s="3"/>
    </row>
    <row r="678" spans="1:10" ht="14.4" x14ac:dyDescent="0.3">
      <c r="A678" s="3"/>
      <c r="B678" s="9" t="s">
        <v>42</v>
      </c>
      <c r="C678" s="5"/>
      <c r="D678" s="6"/>
      <c r="E678" s="6"/>
      <c r="F678" s="90" t="s">
        <v>57</v>
      </c>
      <c r="G678" s="90" t="s">
        <v>57</v>
      </c>
      <c r="H678" s="6" t="s">
        <v>57</v>
      </c>
      <c r="I678" s="3"/>
    </row>
    <row r="679" spans="1:10" ht="14.4" x14ac:dyDescent="0.3">
      <c r="A679" s="3"/>
      <c r="B679" s="10"/>
      <c r="C679" s="94"/>
      <c r="D679" s="96"/>
      <c r="E679" s="96"/>
      <c r="F679" s="96"/>
      <c r="G679" s="96"/>
      <c r="H679" s="44"/>
      <c r="I679" s="3"/>
    </row>
    <row r="680" spans="1:10" ht="14.4" x14ac:dyDescent="0.3">
      <c r="A680" s="3"/>
      <c r="B680" s="10"/>
      <c r="C680" s="94"/>
      <c r="D680" s="96"/>
      <c r="E680" s="96"/>
      <c r="F680" s="96"/>
      <c r="G680" s="96"/>
      <c r="H680" s="44"/>
      <c r="I680" s="3"/>
    </row>
    <row r="681" spans="1:10" ht="18" x14ac:dyDescent="0.35">
      <c r="A681" s="3"/>
      <c r="C681" s="94"/>
      <c r="D681" s="183" t="s">
        <v>45</v>
      </c>
      <c r="E681" s="183"/>
      <c r="F681" s="183"/>
      <c r="G681" s="183"/>
      <c r="H681" s="183"/>
      <c r="I681" s="3"/>
    </row>
    <row r="682" spans="1:10" ht="15.6" x14ac:dyDescent="0.3">
      <c r="A682" s="37"/>
      <c r="B682" s="27" t="s">
        <v>57</v>
      </c>
      <c r="C682" s="95" t="s">
        <v>57</v>
      </c>
      <c r="D682" s="184" t="s">
        <v>66</v>
      </c>
      <c r="E682" s="184"/>
      <c r="F682" s="184"/>
      <c r="G682" s="184"/>
      <c r="H682" s="184"/>
      <c r="I682" s="37"/>
    </row>
    <row r="683" spans="1:10" ht="15.9" customHeight="1" x14ac:dyDescent="0.3">
      <c r="A683" s="3"/>
      <c r="B683" s="128" t="s">
        <v>84</v>
      </c>
      <c r="C683" s="128"/>
      <c r="D683" s="128"/>
      <c r="E683" s="128"/>
      <c r="F683" s="128"/>
      <c r="G683" s="128"/>
      <c r="H683" s="128"/>
      <c r="I683" s="3"/>
    </row>
    <row r="684" spans="1:10" ht="14.4" x14ac:dyDescent="0.3">
      <c r="A684" s="3"/>
      <c r="B684" s="15"/>
      <c r="C684" s="16"/>
      <c r="D684" s="118" t="s">
        <v>6</v>
      </c>
      <c r="E684" s="119"/>
      <c r="F684" s="119"/>
      <c r="G684" s="180"/>
      <c r="H684" s="181" t="s">
        <v>57</v>
      </c>
      <c r="I684" s="3"/>
    </row>
    <row r="685" spans="1:10" ht="14.4" x14ac:dyDescent="0.3">
      <c r="A685" s="3"/>
      <c r="B685" s="13"/>
      <c r="C685" s="14"/>
      <c r="D685" s="125" t="s">
        <v>9</v>
      </c>
      <c r="E685" s="126"/>
      <c r="F685" s="126"/>
      <c r="G685" s="182"/>
      <c r="H685" s="181"/>
      <c r="I685" s="3"/>
    </row>
    <row r="686" spans="1:10" ht="14.4" x14ac:dyDescent="0.3">
      <c r="A686" s="3"/>
      <c r="B686" s="132" t="s">
        <v>10</v>
      </c>
      <c r="C686" s="134" t="s">
        <v>11</v>
      </c>
      <c r="D686" s="62" t="s">
        <v>12</v>
      </c>
      <c r="E686" s="62" t="s">
        <v>13</v>
      </c>
      <c r="F686" s="62" t="s">
        <v>14</v>
      </c>
      <c r="G686" s="76" t="s">
        <v>15</v>
      </c>
      <c r="H686" s="176" t="s">
        <v>57</v>
      </c>
      <c r="I686" s="3"/>
    </row>
    <row r="687" spans="1:10" ht="14.4" x14ac:dyDescent="0.3">
      <c r="A687" s="3"/>
      <c r="B687" s="133"/>
      <c r="C687" s="135"/>
      <c r="D687" s="145" t="s">
        <v>20</v>
      </c>
      <c r="E687" s="146"/>
      <c r="F687" s="146"/>
      <c r="G687" s="177"/>
      <c r="H687" s="176"/>
      <c r="I687" s="3"/>
    </row>
    <row r="688" spans="1:10" ht="14.4" x14ac:dyDescent="0.3">
      <c r="A688" s="3"/>
      <c r="B688" s="42">
        <v>4</v>
      </c>
      <c r="C688" s="77" t="s">
        <v>21</v>
      </c>
      <c r="D688" s="26">
        <v>0</v>
      </c>
      <c r="E688" s="26">
        <v>0</v>
      </c>
      <c r="F688" s="26">
        <v>0</v>
      </c>
      <c r="G688" s="26">
        <v>0</v>
      </c>
      <c r="H688" s="81" t="s">
        <v>57</v>
      </c>
      <c r="I688" s="3"/>
    </row>
    <row r="689" spans="1:11" ht="14.4" x14ac:dyDescent="0.3">
      <c r="A689" s="3"/>
      <c r="B689" s="82">
        <v>5</v>
      </c>
      <c r="C689" s="83" t="s">
        <v>22</v>
      </c>
      <c r="D689" s="26">
        <v>0</v>
      </c>
      <c r="E689" s="26">
        <v>0</v>
      </c>
      <c r="F689" s="26">
        <v>0</v>
      </c>
      <c r="G689" s="26">
        <v>0</v>
      </c>
      <c r="H689" s="81" t="s">
        <v>57</v>
      </c>
      <c r="I689" s="3"/>
    </row>
    <row r="690" spans="1:11" ht="14.4" x14ac:dyDescent="0.3">
      <c r="A690" s="3"/>
      <c r="B690" s="82">
        <v>6</v>
      </c>
      <c r="C690" s="83" t="s">
        <v>23</v>
      </c>
      <c r="D690" s="26">
        <v>0</v>
      </c>
      <c r="E690" s="26">
        <v>0</v>
      </c>
      <c r="F690" s="26">
        <v>0</v>
      </c>
      <c r="G690" s="26">
        <v>0</v>
      </c>
      <c r="H690" s="81" t="s">
        <v>57</v>
      </c>
      <c r="I690" s="3"/>
    </row>
    <row r="691" spans="1:11" ht="14.4" x14ac:dyDescent="0.3">
      <c r="A691" s="3"/>
      <c r="B691" s="82">
        <v>7</v>
      </c>
      <c r="C691" s="83" t="s">
        <v>24</v>
      </c>
      <c r="D691" s="26">
        <v>0</v>
      </c>
      <c r="E691" s="26">
        <v>0</v>
      </c>
      <c r="F691" s="26">
        <v>0</v>
      </c>
      <c r="G691" s="26">
        <v>0</v>
      </c>
      <c r="H691" s="81" t="s">
        <v>57</v>
      </c>
      <c r="I691" s="3"/>
    </row>
    <row r="692" spans="1:11" ht="14.4" x14ac:dyDescent="0.3">
      <c r="A692" s="3"/>
      <c r="B692" s="42">
        <v>8</v>
      </c>
      <c r="C692" s="40" t="s">
        <v>25</v>
      </c>
      <c r="D692" s="26">
        <v>0</v>
      </c>
      <c r="E692" s="26">
        <v>0</v>
      </c>
      <c r="F692" s="49">
        <f t="shared" ref="F692:F710" si="37">+E692+D692</f>
        <v>0</v>
      </c>
      <c r="G692" s="84">
        <f t="shared" ref="G692:G710" si="38">+G691+F692</f>
        <v>0</v>
      </c>
      <c r="H692" s="81"/>
      <c r="I692" s="10"/>
      <c r="J692" s="3"/>
      <c r="K692" s="3"/>
    </row>
    <row r="693" spans="1:11" s="3" customFormat="1" ht="14.4" x14ac:dyDescent="0.3">
      <c r="B693" s="42">
        <v>9</v>
      </c>
      <c r="C693" s="40" t="s">
        <v>26</v>
      </c>
      <c r="D693" s="26">
        <v>0</v>
      </c>
      <c r="E693" s="26">
        <v>0</v>
      </c>
      <c r="F693" s="49">
        <f t="shared" si="37"/>
        <v>0</v>
      </c>
      <c r="G693" s="84">
        <f t="shared" si="38"/>
        <v>0</v>
      </c>
      <c r="H693" s="81"/>
      <c r="I693" s="44"/>
      <c r="J693" s="44"/>
    </row>
    <row r="694" spans="1:11" s="3" customFormat="1" ht="14.4" x14ac:dyDescent="0.3">
      <c r="B694" s="42">
        <v>10</v>
      </c>
      <c r="C694" s="40" t="s">
        <v>67</v>
      </c>
      <c r="D694" s="26">
        <v>0</v>
      </c>
      <c r="E694" s="26">
        <v>0</v>
      </c>
      <c r="F694" s="49">
        <f t="shared" si="37"/>
        <v>0</v>
      </c>
      <c r="G694" s="84">
        <f t="shared" si="38"/>
        <v>0</v>
      </c>
      <c r="H694" s="81"/>
      <c r="I694" s="44"/>
      <c r="J694" s="44"/>
    </row>
    <row r="695" spans="1:11" s="3" customFormat="1" ht="14.4" x14ac:dyDescent="0.3">
      <c r="B695" s="42">
        <v>11</v>
      </c>
      <c r="C695" s="40" t="s">
        <v>68</v>
      </c>
      <c r="D695" s="26">
        <v>0</v>
      </c>
      <c r="E695" s="26">
        <v>0</v>
      </c>
      <c r="F695" s="49">
        <f t="shared" si="37"/>
        <v>0</v>
      </c>
      <c r="G695" s="84">
        <f>+G694+F695</f>
        <v>0</v>
      </c>
      <c r="H695" s="81"/>
      <c r="I695" s="44"/>
      <c r="J695" s="44"/>
    </row>
    <row r="696" spans="1:11" s="3" customFormat="1" ht="14.4" x14ac:dyDescent="0.3">
      <c r="B696" s="42">
        <v>12</v>
      </c>
      <c r="C696" s="40" t="s">
        <v>83</v>
      </c>
      <c r="D696" s="26">
        <v>0</v>
      </c>
      <c r="E696" s="26">
        <v>0</v>
      </c>
      <c r="F696" s="49">
        <f t="shared" si="37"/>
        <v>0</v>
      </c>
      <c r="G696" s="84">
        <f t="shared" si="38"/>
        <v>0</v>
      </c>
      <c r="H696" s="81"/>
      <c r="I696" s="44"/>
      <c r="J696" s="44"/>
    </row>
    <row r="697" spans="1:11" s="3" customFormat="1" ht="14.4" x14ac:dyDescent="0.3">
      <c r="B697" s="42">
        <v>13</v>
      </c>
      <c r="C697" s="40" t="s">
        <v>69</v>
      </c>
      <c r="D697" s="26">
        <v>0</v>
      </c>
      <c r="E697" s="26">
        <v>0</v>
      </c>
      <c r="F697" s="49">
        <f t="shared" si="37"/>
        <v>0</v>
      </c>
      <c r="G697" s="84">
        <f t="shared" si="38"/>
        <v>0</v>
      </c>
      <c r="H697" s="81"/>
      <c r="I697" s="44"/>
      <c r="J697" s="44"/>
    </row>
    <row r="698" spans="1:11" s="3" customFormat="1" ht="16.8" customHeight="1" x14ac:dyDescent="0.3">
      <c r="B698" s="42">
        <v>14</v>
      </c>
      <c r="C698" s="86" t="s">
        <v>70</v>
      </c>
      <c r="D698" s="26">
        <v>0</v>
      </c>
      <c r="E698" s="26">
        <v>0</v>
      </c>
      <c r="F698" s="49">
        <f t="shared" si="37"/>
        <v>0</v>
      </c>
      <c r="G698" s="84">
        <f t="shared" si="38"/>
        <v>0</v>
      </c>
      <c r="H698" s="81"/>
      <c r="I698" s="44"/>
      <c r="J698" s="44"/>
    </row>
    <row r="699" spans="1:11" s="3" customFormat="1" ht="14.4" hidden="1" x14ac:dyDescent="0.3">
      <c r="B699" s="42">
        <v>15</v>
      </c>
      <c r="C699" s="40" t="s">
        <v>71</v>
      </c>
      <c r="D699" s="26"/>
      <c r="E699" s="26"/>
      <c r="F699" s="49">
        <f t="shared" si="37"/>
        <v>0</v>
      </c>
      <c r="G699" s="84">
        <f t="shared" si="38"/>
        <v>0</v>
      </c>
      <c r="H699" s="81"/>
      <c r="I699" s="44"/>
      <c r="J699" s="44"/>
    </row>
    <row r="700" spans="1:11" s="3" customFormat="1" ht="14.4" hidden="1" x14ac:dyDescent="0.3">
      <c r="B700" s="42">
        <v>16</v>
      </c>
      <c r="C700" s="40" t="s">
        <v>72</v>
      </c>
      <c r="D700" s="26"/>
      <c r="E700" s="26"/>
      <c r="F700" s="49">
        <f t="shared" si="37"/>
        <v>0</v>
      </c>
      <c r="G700" s="84">
        <f t="shared" si="38"/>
        <v>0</v>
      </c>
      <c r="H700" s="81"/>
      <c r="I700" s="44"/>
      <c r="J700" s="44"/>
    </row>
    <row r="701" spans="1:11" s="3" customFormat="1" ht="14.4" hidden="1" x14ac:dyDescent="0.3">
      <c r="B701" s="42">
        <v>17</v>
      </c>
      <c r="C701" s="40" t="s">
        <v>73</v>
      </c>
      <c r="D701" s="26"/>
      <c r="E701" s="26"/>
      <c r="F701" s="49">
        <f t="shared" si="37"/>
        <v>0</v>
      </c>
      <c r="G701" s="84">
        <f t="shared" si="38"/>
        <v>0</v>
      </c>
      <c r="H701" s="81"/>
      <c r="I701" s="44"/>
      <c r="J701" s="44"/>
    </row>
    <row r="702" spans="1:11" s="3" customFormat="1" ht="14.4" hidden="1" x14ac:dyDescent="0.3">
      <c r="B702" s="42">
        <v>18</v>
      </c>
      <c r="C702" s="40" t="s">
        <v>74</v>
      </c>
      <c r="D702" s="26"/>
      <c r="E702" s="26"/>
      <c r="F702" s="49">
        <f t="shared" si="37"/>
        <v>0</v>
      </c>
      <c r="G702" s="84">
        <f t="shared" si="38"/>
        <v>0</v>
      </c>
      <c r="H702" s="81"/>
      <c r="I702" s="44"/>
      <c r="J702" s="44"/>
    </row>
    <row r="703" spans="1:11" s="3" customFormat="1" ht="14.4" hidden="1" x14ac:dyDescent="0.3">
      <c r="B703" s="42">
        <v>19</v>
      </c>
      <c r="C703" s="40" t="s">
        <v>75</v>
      </c>
      <c r="D703" s="26"/>
      <c r="E703" s="26"/>
      <c r="F703" s="49">
        <f t="shared" si="37"/>
        <v>0</v>
      </c>
      <c r="G703" s="84">
        <f t="shared" si="38"/>
        <v>0</v>
      </c>
      <c r="H703" s="81"/>
      <c r="I703" s="44"/>
      <c r="J703" s="44"/>
    </row>
    <row r="704" spans="1:11" s="3" customFormat="1" ht="14.4" hidden="1" x14ac:dyDescent="0.3">
      <c r="B704" s="42">
        <v>20</v>
      </c>
      <c r="C704" s="40" t="s">
        <v>76</v>
      </c>
      <c r="D704" s="26"/>
      <c r="E704" s="26"/>
      <c r="F704" s="49">
        <f t="shared" si="37"/>
        <v>0</v>
      </c>
      <c r="G704" s="84">
        <f t="shared" si="38"/>
        <v>0</v>
      </c>
      <c r="H704" s="81"/>
      <c r="I704" s="44"/>
      <c r="J704" s="44"/>
    </row>
    <row r="705" spans="1:10" s="3" customFormat="1" ht="14.4" hidden="1" x14ac:dyDescent="0.3">
      <c r="B705" s="42">
        <v>21</v>
      </c>
      <c r="C705" s="40" t="s">
        <v>77</v>
      </c>
      <c r="D705" s="26"/>
      <c r="E705" s="26"/>
      <c r="F705" s="49">
        <f t="shared" si="37"/>
        <v>0</v>
      </c>
      <c r="G705" s="84">
        <f t="shared" si="38"/>
        <v>0</v>
      </c>
      <c r="H705" s="81"/>
      <c r="I705" s="44"/>
      <c r="J705" s="44"/>
    </row>
    <row r="706" spans="1:10" s="3" customFormat="1" ht="14.4" hidden="1" x14ac:dyDescent="0.3">
      <c r="B706" s="42">
        <v>22</v>
      </c>
      <c r="C706" s="40" t="s">
        <v>78</v>
      </c>
      <c r="D706" s="26"/>
      <c r="E706" s="26"/>
      <c r="F706" s="49">
        <f t="shared" si="37"/>
        <v>0</v>
      </c>
      <c r="G706" s="84">
        <f t="shared" si="38"/>
        <v>0</v>
      </c>
      <c r="H706" s="81"/>
      <c r="I706" s="44"/>
      <c r="J706" s="44"/>
    </row>
    <row r="707" spans="1:10" s="3" customFormat="1" ht="14.4" hidden="1" x14ac:dyDescent="0.3">
      <c r="B707" s="42">
        <v>23</v>
      </c>
      <c r="C707" s="40" t="s">
        <v>79</v>
      </c>
      <c r="D707" s="26"/>
      <c r="E707" s="26"/>
      <c r="F707" s="49">
        <f t="shared" si="37"/>
        <v>0</v>
      </c>
      <c r="G707" s="84">
        <f t="shared" si="38"/>
        <v>0</v>
      </c>
      <c r="H707" s="81"/>
      <c r="I707" s="44"/>
      <c r="J707" s="44"/>
    </row>
    <row r="708" spans="1:10" s="3" customFormat="1" ht="14.4" hidden="1" x14ac:dyDescent="0.3">
      <c r="B708" s="42">
        <v>24</v>
      </c>
      <c r="C708" s="40" t="s">
        <v>80</v>
      </c>
      <c r="D708" s="26"/>
      <c r="E708" s="26"/>
      <c r="F708" s="49">
        <f t="shared" si="37"/>
        <v>0</v>
      </c>
      <c r="G708" s="84">
        <f t="shared" si="38"/>
        <v>0</v>
      </c>
      <c r="H708" s="81"/>
      <c r="I708" s="44"/>
      <c r="J708" s="44"/>
    </row>
    <row r="709" spans="1:10" s="3" customFormat="1" ht="14.4" hidden="1" x14ac:dyDescent="0.3">
      <c r="B709" s="42">
        <v>25</v>
      </c>
      <c r="C709" s="87" t="s">
        <v>81</v>
      </c>
      <c r="D709" s="26"/>
      <c r="E709" s="26"/>
      <c r="F709" s="49">
        <f t="shared" si="37"/>
        <v>0</v>
      </c>
      <c r="G709" s="84">
        <f t="shared" si="38"/>
        <v>0</v>
      </c>
      <c r="H709" s="81"/>
      <c r="I709" s="44"/>
      <c r="J709" s="44"/>
    </row>
    <row r="710" spans="1:10" s="3" customFormat="1" ht="14.4" hidden="1" x14ac:dyDescent="0.3">
      <c r="B710" s="42">
        <v>26</v>
      </c>
      <c r="C710" s="87" t="s">
        <v>82</v>
      </c>
      <c r="D710" s="33"/>
      <c r="E710" s="33"/>
      <c r="F710" s="66">
        <f t="shared" si="37"/>
        <v>0</v>
      </c>
      <c r="G710" s="88">
        <f t="shared" si="38"/>
        <v>0</v>
      </c>
      <c r="H710" s="81"/>
      <c r="I710" s="44"/>
      <c r="J710" s="44"/>
    </row>
    <row r="711" spans="1:10" ht="13.5" customHeight="1" x14ac:dyDescent="0.3">
      <c r="A711" s="3"/>
      <c r="B711" s="5" t="s">
        <v>57</v>
      </c>
      <c r="C711" s="89" t="s">
        <v>57</v>
      </c>
      <c r="D711" s="90" t="s">
        <v>57</v>
      </c>
      <c r="E711" s="90"/>
      <c r="F711" s="90" t="s">
        <v>57</v>
      </c>
      <c r="G711" s="90" t="s">
        <v>57</v>
      </c>
      <c r="H711" s="6" t="s">
        <v>57</v>
      </c>
      <c r="I711" s="3"/>
    </row>
    <row r="712" spans="1:10" ht="14.4" x14ac:dyDescent="0.3">
      <c r="A712" s="3"/>
      <c r="B712" s="8" t="s">
        <v>39</v>
      </c>
      <c r="C712" s="91"/>
      <c r="D712" s="90" t="s">
        <v>57</v>
      </c>
      <c r="E712" s="90" t="s">
        <v>57</v>
      </c>
      <c r="F712" s="90" t="s">
        <v>57</v>
      </c>
      <c r="G712" s="90" t="s">
        <v>57</v>
      </c>
      <c r="H712" s="6" t="s">
        <v>57</v>
      </c>
      <c r="I712" s="3"/>
    </row>
    <row r="713" spans="1:10" ht="14.4" x14ac:dyDescent="0.3">
      <c r="A713" s="3"/>
      <c r="B713" s="9" t="s">
        <v>40</v>
      </c>
      <c r="C713" s="5"/>
      <c r="D713" s="6"/>
      <c r="E713" s="6"/>
      <c r="F713" s="92"/>
      <c r="G713" s="92"/>
      <c r="H713" s="93"/>
      <c r="I713" s="3"/>
    </row>
    <row r="714" spans="1:10" ht="14.4" x14ac:dyDescent="0.3">
      <c r="A714" s="3"/>
      <c r="B714" s="9" t="s">
        <v>41</v>
      </c>
      <c r="C714" s="5"/>
      <c r="D714" s="6"/>
      <c r="E714" s="6"/>
      <c r="F714" s="92"/>
      <c r="G714" s="90" t="s">
        <v>57</v>
      </c>
      <c r="H714" s="6" t="s">
        <v>57</v>
      </c>
      <c r="I714" s="3"/>
    </row>
    <row r="715" spans="1:10" ht="14.4" x14ac:dyDescent="0.3">
      <c r="A715" s="3"/>
      <c r="B715" s="9" t="s">
        <v>42</v>
      </c>
      <c r="C715" s="5"/>
      <c r="D715" s="6"/>
      <c r="E715" s="6"/>
      <c r="F715" s="90" t="s">
        <v>57</v>
      </c>
      <c r="G715" s="90" t="s">
        <v>57</v>
      </c>
      <c r="H715" s="6" t="s">
        <v>57</v>
      </c>
      <c r="I715" s="3"/>
    </row>
    <row r="716" spans="1:10" ht="14.4" x14ac:dyDescent="0.3">
      <c r="A716" s="3"/>
      <c r="B716" s="3"/>
      <c r="C716" s="73"/>
      <c r="D716" s="74"/>
      <c r="E716" s="74"/>
      <c r="F716" s="74"/>
      <c r="G716" s="74"/>
      <c r="H716" s="41"/>
      <c r="I716" s="3"/>
    </row>
    <row r="717" spans="1:10" ht="14.4" x14ac:dyDescent="0.3">
      <c r="A717" s="3"/>
      <c r="B717" s="3"/>
      <c r="C717" s="73"/>
      <c r="D717" s="74"/>
      <c r="E717" s="74"/>
      <c r="F717" s="74"/>
      <c r="G717" s="74"/>
      <c r="H717" s="41"/>
      <c r="I717" s="3"/>
    </row>
    <row r="718" spans="1:10" ht="18" x14ac:dyDescent="0.35">
      <c r="A718" s="3"/>
      <c r="C718" s="94"/>
      <c r="D718" s="178" t="s">
        <v>46</v>
      </c>
      <c r="E718" s="178"/>
      <c r="F718" s="178"/>
      <c r="G718" s="178"/>
      <c r="H718" s="178"/>
      <c r="I718" s="3"/>
    </row>
    <row r="719" spans="1:10" ht="15.6" x14ac:dyDescent="0.3">
      <c r="A719" s="37"/>
      <c r="B719" s="27" t="s">
        <v>57</v>
      </c>
      <c r="C719" s="95" t="s">
        <v>57</v>
      </c>
      <c r="D719" s="179" t="s">
        <v>66</v>
      </c>
      <c r="E719" s="179"/>
      <c r="F719" s="179"/>
      <c r="G719" s="179"/>
      <c r="H719" s="179"/>
      <c r="I719" s="37"/>
    </row>
    <row r="720" spans="1:10" ht="15.9" customHeight="1" x14ac:dyDescent="0.3">
      <c r="A720" s="3"/>
      <c r="B720" s="128" t="s">
        <v>84</v>
      </c>
      <c r="C720" s="128"/>
      <c r="D720" s="128"/>
      <c r="E720" s="128"/>
      <c r="F720" s="128"/>
      <c r="G720" s="128"/>
      <c r="H720" s="128"/>
      <c r="I720" s="3"/>
    </row>
    <row r="721" spans="1:11" ht="14.4" x14ac:dyDescent="0.3">
      <c r="A721" s="3"/>
      <c r="B721" s="15"/>
      <c r="C721" s="16"/>
      <c r="D721" s="118" t="s">
        <v>6</v>
      </c>
      <c r="E721" s="119"/>
      <c r="F721" s="119"/>
      <c r="G721" s="180"/>
      <c r="H721" s="181" t="s">
        <v>57</v>
      </c>
      <c r="I721" s="3"/>
    </row>
    <row r="722" spans="1:11" ht="14.4" x14ac:dyDescent="0.3">
      <c r="A722" s="3"/>
      <c r="B722" s="13"/>
      <c r="C722" s="14"/>
      <c r="D722" s="125" t="s">
        <v>9</v>
      </c>
      <c r="E722" s="126"/>
      <c r="F722" s="126"/>
      <c r="G722" s="182"/>
      <c r="H722" s="181"/>
      <c r="I722" s="3"/>
    </row>
    <row r="723" spans="1:11" ht="14.4" x14ac:dyDescent="0.3">
      <c r="A723" s="3"/>
      <c r="B723" s="132" t="s">
        <v>10</v>
      </c>
      <c r="C723" s="134" t="s">
        <v>11</v>
      </c>
      <c r="D723" s="62" t="s">
        <v>12</v>
      </c>
      <c r="E723" s="62" t="s">
        <v>13</v>
      </c>
      <c r="F723" s="62" t="s">
        <v>14</v>
      </c>
      <c r="G723" s="76" t="s">
        <v>15</v>
      </c>
      <c r="H723" s="176" t="s">
        <v>57</v>
      </c>
      <c r="I723" s="3"/>
    </row>
    <row r="724" spans="1:11" ht="14.4" x14ac:dyDescent="0.3">
      <c r="A724" s="3"/>
      <c r="B724" s="133"/>
      <c r="C724" s="135"/>
      <c r="D724" s="145" t="s">
        <v>20</v>
      </c>
      <c r="E724" s="146"/>
      <c r="F724" s="146"/>
      <c r="G724" s="177"/>
      <c r="H724" s="176"/>
      <c r="I724" s="3"/>
    </row>
    <row r="725" spans="1:11" ht="14.4" x14ac:dyDescent="0.3">
      <c r="A725" s="3"/>
      <c r="B725" s="42">
        <v>4</v>
      </c>
      <c r="C725" s="77" t="s">
        <v>21</v>
      </c>
      <c r="D725" s="26">
        <v>0</v>
      </c>
      <c r="E725" s="26">
        <v>0</v>
      </c>
      <c r="F725" s="26">
        <v>0</v>
      </c>
      <c r="G725" s="26">
        <v>0</v>
      </c>
      <c r="H725" s="81" t="s">
        <v>57</v>
      </c>
      <c r="I725" s="3"/>
    </row>
    <row r="726" spans="1:11" ht="14.4" x14ac:dyDescent="0.3">
      <c r="A726" s="3"/>
      <c r="B726" s="82">
        <v>5</v>
      </c>
      <c r="C726" s="83" t="s">
        <v>22</v>
      </c>
      <c r="D726" s="78">
        <v>22804.03</v>
      </c>
      <c r="E726" s="26">
        <v>0</v>
      </c>
      <c r="F726" s="79">
        <f>+E726+D726</f>
        <v>22804.03</v>
      </c>
      <c r="G726" s="80">
        <f>+F726</f>
        <v>22804.03</v>
      </c>
      <c r="H726" s="81" t="s">
        <v>57</v>
      </c>
      <c r="I726" s="3"/>
    </row>
    <row r="727" spans="1:11" ht="14.4" x14ac:dyDescent="0.3">
      <c r="A727" s="3"/>
      <c r="B727" s="82">
        <v>6</v>
      </c>
      <c r="C727" s="83" t="s">
        <v>23</v>
      </c>
      <c r="D727" s="78">
        <v>14028.02</v>
      </c>
      <c r="E727" s="26">
        <v>0</v>
      </c>
      <c r="F727" s="79">
        <f>+E727+D727</f>
        <v>14028.02</v>
      </c>
      <c r="G727" s="80">
        <f>+G726+F727</f>
        <v>36832.050000000003</v>
      </c>
      <c r="H727" s="81" t="s">
        <v>57</v>
      </c>
      <c r="I727" s="3"/>
    </row>
    <row r="728" spans="1:11" ht="14.4" x14ac:dyDescent="0.3">
      <c r="A728" s="3"/>
      <c r="B728" s="82">
        <v>7</v>
      </c>
      <c r="C728" s="83" t="s">
        <v>24</v>
      </c>
      <c r="D728" s="78">
        <v>29519.08</v>
      </c>
      <c r="E728" s="26">
        <v>0</v>
      </c>
      <c r="F728" s="79">
        <f>+E728+D728</f>
        <v>29519.08</v>
      </c>
      <c r="G728" s="80">
        <f>+G727+F728</f>
        <v>66351.13</v>
      </c>
      <c r="H728" s="81" t="s">
        <v>57</v>
      </c>
      <c r="I728" s="3"/>
    </row>
    <row r="729" spans="1:11" ht="14.4" x14ac:dyDescent="0.3">
      <c r="A729" s="3"/>
      <c r="B729" s="42">
        <v>8</v>
      </c>
      <c r="C729" s="40" t="s">
        <v>25</v>
      </c>
      <c r="D729" s="26">
        <v>24107</v>
      </c>
      <c r="E729" s="26">
        <v>0</v>
      </c>
      <c r="F729" s="79">
        <f>+E729+D729</f>
        <v>24107</v>
      </c>
      <c r="G729" s="84">
        <f>+G728+F729</f>
        <v>90458.13</v>
      </c>
      <c r="H729" s="81"/>
      <c r="I729" s="10"/>
      <c r="J729" s="3"/>
      <c r="K729" s="3"/>
    </row>
    <row r="730" spans="1:11" s="3" customFormat="1" ht="14.4" x14ac:dyDescent="0.3">
      <c r="B730" s="42">
        <v>9</v>
      </c>
      <c r="C730" s="40" t="s">
        <v>26</v>
      </c>
      <c r="D730" s="26">
        <v>2162.5100000000002</v>
      </c>
      <c r="E730" s="26">
        <v>0</v>
      </c>
      <c r="F730" s="49">
        <f t="shared" ref="F730:F747" si="39">+E730+D730</f>
        <v>2162.5100000000002</v>
      </c>
      <c r="G730" s="84">
        <f t="shared" ref="G730:G747" si="40">+G729+F730</f>
        <v>92620.64</v>
      </c>
      <c r="H730" s="81"/>
      <c r="I730" s="44"/>
      <c r="J730" s="44"/>
    </row>
    <row r="731" spans="1:11" s="3" customFormat="1" ht="14.4" x14ac:dyDescent="0.3">
      <c r="B731" s="42">
        <v>10</v>
      </c>
      <c r="C731" s="40" t="s">
        <v>67</v>
      </c>
      <c r="D731" s="26">
        <v>0</v>
      </c>
      <c r="E731" s="26">
        <v>0</v>
      </c>
      <c r="F731" s="49">
        <f t="shared" si="39"/>
        <v>0</v>
      </c>
      <c r="G731" s="84">
        <f t="shared" si="40"/>
        <v>92620.64</v>
      </c>
      <c r="H731" s="81"/>
      <c r="I731" s="44"/>
      <c r="J731" s="44"/>
    </row>
    <row r="732" spans="1:11" s="3" customFormat="1" ht="14.4" x14ac:dyDescent="0.3">
      <c r="B732" s="42">
        <v>11</v>
      </c>
      <c r="C732" s="40" t="s">
        <v>68</v>
      </c>
      <c r="D732" s="26">
        <v>9488.02</v>
      </c>
      <c r="E732" s="26">
        <v>0</v>
      </c>
      <c r="F732" s="49">
        <f t="shared" si="39"/>
        <v>9488.02</v>
      </c>
      <c r="G732" s="84">
        <f t="shared" si="40"/>
        <v>102108.66</v>
      </c>
      <c r="H732" s="81"/>
      <c r="I732" s="44"/>
      <c r="J732" s="44"/>
    </row>
    <row r="733" spans="1:11" s="3" customFormat="1" ht="14.4" x14ac:dyDescent="0.3">
      <c r="B733" s="42">
        <v>12</v>
      </c>
      <c r="C733" s="40" t="s">
        <v>83</v>
      </c>
      <c r="D733" s="26">
        <v>3777.51</v>
      </c>
      <c r="E733" s="26">
        <v>0</v>
      </c>
      <c r="F733" s="49">
        <f t="shared" si="39"/>
        <v>3777.51</v>
      </c>
      <c r="G733" s="84">
        <f t="shared" si="40"/>
        <v>105886.17</v>
      </c>
      <c r="H733" s="81"/>
      <c r="I733" s="44"/>
      <c r="J733" s="44"/>
    </row>
    <row r="734" spans="1:11" s="3" customFormat="1" ht="14.4" x14ac:dyDescent="0.3">
      <c r="B734" s="42">
        <v>13</v>
      </c>
      <c r="C734" s="40" t="s">
        <v>69</v>
      </c>
      <c r="D734" s="26">
        <v>0</v>
      </c>
      <c r="E734" s="26">
        <v>0</v>
      </c>
      <c r="F734" s="49">
        <f t="shared" si="39"/>
        <v>0</v>
      </c>
      <c r="G734" s="84">
        <f t="shared" si="40"/>
        <v>105886.17</v>
      </c>
      <c r="H734" s="81"/>
      <c r="I734" s="44"/>
      <c r="J734" s="44"/>
    </row>
    <row r="735" spans="1:11" s="3" customFormat="1" ht="15" customHeight="1" x14ac:dyDescent="0.3">
      <c r="B735" s="42">
        <v>14</v>
      </c>
      <c r="C735" s="86" t="s">
        <v>70</v>
      </c>
      <c r="D735" s="26">
        <v>0</v>
      </c>
      <c r="E735" s="26">
        <v>0</v>
      </c>
      <c r="F735" s="49">
        <f t="shared" si="39"/>
        <v>0</v>
      </c>
      <c r="G735" s="84">
        <f t="shared" si="40"/>
        <v>105886.17</v>
      </c>
      <c r="H735" s="81"/>
      <c r="I735" s="44"/>
      <c r="J735" s="44"/>
    </row>
    <row r="736" spans="1:11" s="3" customFormat="1" ht="14.4" hidden="1" x14ac:dyDescent="0.3">
      <c r="B736" s="42">
        <v>15</v>
      </c>
      <c r="C736" s="40" t="s">
        <v>71</v>
      </c>
      <c r="D736" s="26"/>
      <c r="E736" s="26"/>
      <c r="F736" s="49">
        <f t="shared" si="39"/>
        <v>0</v>
      </c>
      <c r="G736" s="84">
        <f t="shared" si="40"/>
        <v>105886.17</v>
      </c>
      <c r="H736" s="81"/>
      <c r="I736" s="44"/>
      <c r="J736" s="44"/>
    </row>
    <row r="737" spans="1:10" s="3" customFormat="1" ht="14.4" hidden="1" x14ac:dyDescent="0.3">
      <c r="B737" s="42">
        <v>16</v>
      </c>
      <c r="C737" s="40" t="s">
        <v>72</v>
      </c>
      <c r="D737" s="26"/>
      <c r="E737" s="26"/>
      <c r="F737" s="49">
        <f t="shared" si="39"/>
        <v>0</v>
      </c>
      <c r="G737" s="84">
        <f t="shared" si="40"/>
        <v>105886.17</v>
      </c>
      <c r="H737" s="81"/>
      <c r="I737" s="44"/>
      <c r="J737" s="44"/>
    </row>
    <row r="738" spans="1:10" s="3" customFormat="1" ht="14.4" hidden="1" x14ac:dyDescent="0.3">
      <c r="B738" s="42">
        <v>17</v>
      </c>
      <c r="C738" s="40" t="s">
        <v>73</v>
      </c>
      <c r="D738" s="26"/>
      <c r="E738" s="26"/>
      <c r="F738" s="49">
        <f t="shared" si="39"/>
        <v>0</v>
      </c>
      <c r="G738" s="84">
        <f t="shared" si="40"/>
        <v>105886.17</v>
      </c>
      <c r="H738" s="81"/>
      <c r="I738" s="44"/>
      <c r="J738" s="44"/>
    </row>
    <row r="739" spans="1:10" s="3" customFormat="1" ht="14.4" hidden="1" x14ac:dyDescent="0.3">
      <c r="B739" s="42">
        <v>18</v>
      </c>
      <c r="C739" s="40" t="s">
        <v>74</v>
      </c>
      <c r="D739" s="26"/>
      <c r="E739" s="26"/>
      <c r="F739" s="49">
        <f t="shared" si="39"/>
        <v>0</v>
      </c>
      <c r="G739" s="84">
        <f t="shared" si="40"/>
        <v>105886.17</v>
      </c>
      <c r="H739" s="81"/>
      <c r="I739" s="44"/>
      <c r="J739" s="44"/>
    </row>
    <row r="740" spans="1:10" s="3" customFormat="1" ht="14.4" hidden="1" x14ac:dyDescent="0.3">
      <c r="B740" s="42">
        <v>19</v>
      </c>
      <c r="C740" s="40" t="s">
        <v>75</v>
      </c>
      <c r="D740" s="26"/>
      <c r="E740" s="26"/>
      <c r="F740" s="49">
        <f t="shared" si="39"/>
        <v>0</v>
      </c>
      <c r="G740" s="84">
        <f t="shared" si="40"/>
        <v>105886.17</v>
      </c>
      <c r="H740" s="81"/>
      <c r="I740" s="44"/>
      <c r="J740" s="44"/>
    </row>
    <row r="741" spans="1:10" s="3" customFormat="1" ht="14.4" hidden="1" x14ac:dyDescent="0.3">
      <c r="B741" s="42">
        <v>20</v>
      </c>
      <c r="C741" s="40" t="s">
        <v>76</v>
      </c>
      <c r="D741" s="26"/>
      <c r="E741" s="26"/>
      <c r="F741" s="49">
        <f t="shared" si="39"/>
        <v>0</v>
      </c>
      <c r="G741" s="84">
        <f t="shared" si="40"/>
        <v>105886.17</v>
      </c>
      <c r="H741" s="81"/>
      <c r="I741" s="44"/>
      <c r="J741" s="44"/>
    </row>
    <row r="742" spans="1:10" s="3" customFormat="1" ht="14.4" hidden="1" x14ac:dyDescent="0.3">
      <c r="B742" s="42">
        <v>21</v>
      </c>
      <c r="C742" s="40" t="s">
        <v>77</v>
      </c>
      <c r="D742" s="26"/>
      <c r="E742" s="26"/>
      <c r="F742" s="49">
        <f t="shared" si="39"/>
        <v>0</v>
      </c>
      <c r="G742" s="84">
        <f t="shared" si="40"/>
        <v>105886.17</v>
      </c>
      <c r="H742" s="81"/>
      <c r="I742" s="44"/>
      <c r="J742" s="44"/>
    </row>
    <row r="743" spans="1:10" s="3" customFormat="1" ht="14.4" hidden="1" x14ac:dyDescent="0.3">
      <c r="B743" s="42">
        <v>22</v>
      </c>
      <c r="C743" s="40" t="s">
        <v>78</v>
      </c>
      <c r="D743" s="26"/>
      <c r="E743" s="26"/>
      <c r="F743" s="49">
        <f t="shared" si="39"/>
        <v>0</v>
      </c>
      <c r="G743" s="84">
        <f t="shared" si="40"/>
        <v>105886.17</v>
      </c>
      <c r="H743" s="81"/>
      <c r="I743" s="44"/>
      <c r="J743" s="44"/>
    </row>
    <row r="744" spans="1:10" s="3" customFormat="1" ht="14.4" hidden="1" x14ac:dyDescent="0.3">
      <c r="B744" s="42">
        <v>23</v>
      </c>
      <c r="C744" s="40" t="s">
        <v>79</v>
      </c>
      <c r="D744" s="26"/>
      <c r="E744" s="26"/>
      <c r="F744" s="49">
        <f t="shared" si="39"/>
        <v>0</v>
      </c>
      <c r="G744" s="84">
        <f t="shared" si="40"/>
        <v>105886.17</v>
      </c>
      <c r="H744" s="81"/>
      <c r="I744" s="44"/>
      <c r="J744" s="44"/>
    </row>
    <row r="745" spans="1:10" s="3" customFormat="1" ht="14.4" hidden="1" x14ac:dyDescent="0.3">
      <c r="B745" s="42">
        <v>24</v>
      </c>
      <c r="C745" s="40" t="s">
        <v>80</v>
      </c>
      <c r="D745" s="26"/>
      <c r="E745" s="26"/>
      <c r="F745" s="49">
        <f t="shared" si="39"/>
        <v>0</v>
      </c>
      <c r="G745" s="84">
        <f t="shared" si="40"/>
        <v>105886.17</v>
      </c>
      <c r="H745" s="81"/>
      <c r="I745" s="44"/>
      <c r="J745" s="44"/>
    </row>
    <row r="746" spans="1:10" s="3" customFormat="1" ht="14.4" hidden="1" x14ac:dyDescent="0.3">
      <c r="B746" s="42">
        <v>25</v>
      </c>
      <c r="C746" s="87" t="s">
        <v>81</v>
      </c>
      <c r="D746" s="26"/>
      <c r="E746" s="26"/>
      <c r="F746" s="49">
        <f t="shared" si="39"/>
        <v>0</v>
      </c>
      <c r="G746" s="84">
        <f t="shared" si="40"/>
        <v>105886.17</v>
      </c>
      <c r="H746" s="81"/>
      <c r="I746" s="44"/>
      <c r="J746" s="44"/>
    </row>
    <row r="747" spans="1:10" s="3" customFormat="1" ht="14.4" hidden="1" x14ac:dyDescent="0.3">
      <c r="B747" s="42">
        <v>26</v>
      </c>
      <c r="C747" s="87" t="s">
        <v>82</v>
      </c>
      <c r="D747" s="33"/>
      <c r="E747" s="33"/>
      <c r="F747" s="66">
        <f t="shared" si="39"/>
        <v>0</v>
      </c>
      <c r="G747" s="88">
        <f t="shared" si="40"/>
        <v>105886.17</v>
      </c>
      <c r="H747" s="81"/>
      <c r="I747" s="44"/>
      <c r="J747" s="44"/>
    </row>
    <row r="748" spans="1:10" s="3" customFormat="1" ht="14.4" x14ac:dyDescent="0.3">
      <c r="B748" s="97"/>
      <c r="C748" s="98"/>
      <c r="D748" s="44"/>
      <c r="E748" s="44"/>
      <c r="F748" s="65"/>
      <c r="G748" s="44"/>
      <c r="H748" s="81"/>
      <c r="I748" s="44"/>
      <c r="J748" s="44"/>
    </row>
    <row r="749" spans="1:10" ht="14.4" x14ac:dyDescent="0.3">
      <c r="A749" s="3"/>
      <c r="B749" s="8" t="s">
        <v>39</v>
      </c>
      <c r="C749" s="91"/>
      <c r="D749" s="90" t="s">
        <v>57</v>
      </c>
      <c r="E749" s="90" t="s">
        <v>57</v>
      </c>
      <c r="F749" s="90" t="s">
        <v>57</v>
      </c>
      <c r="G749" s="90" t="s">
        <v>57</v>
      </c>
      <c r="H749" s="6" t="s">
        <v>57</v>
      </c>
      <c r="I749" s="3"/>
    </row>
    <row r="750" spans="1:10" ht="14.4" x14ac:dyDescent="0.3">
      <c r="A750" s="3"/>
      <c r="B750" s="9" t="s">
        <v>40</v>
      </c>
      <c r="C750" s="5"/>
      <c r="D750" s="6"/>
      <c r="E750" s="6"/>
      <c r="F750" s="92"/>
      <c r="G750" s="92"/>
      <c r="H750" s="93"/>
      <c r="I750" s="3"/>
    </row>
    <row r="751" spans="1:10" ht="14.4" x14ac:dyDescent="0.3">
      <c r="A751" s="3"/>
      <c r="B751" s="9" t="s">
        <v>41</v>
      </c>
      <c r="C751" s="5"/>
      <c r="D751" s="6"/>
      <c r="E751" s="6"/>
      <c r="F751" s="92"/>
      <c r="G751" s="90" t="s">
        <v>57</v>
      </c>
      <c r="H751" s="6" t="s">
        <v>57</v>
      </c>
      <c r="I751" s="3"/>
    </row>
    <row r="752" spans="1:10" ht="14.4" x14ac:dyDescent="0.3">
      <c r="A752" s="3"/>
      <c r="B752" s="9" t="s">
        <v>42</v>
      </c>
      <c r="C752" s="5"/>
      <c r="D752" s="6"/>
      <c r="E752" s="6"/>
      <c r="F752" s="90" t="s">
        <v>57</v>
      </c>
      <c r="G752" s="90" t="s">
        <v>57</v>
      </c>
      <c r="H752" s="6" t="s">
        <v>57</v>
      </c>
      <c r="I752" s="3"/>
    </row>
  </sheetData>
  <mergeCells count="195">
    <mergeCell ref="D42:H42"/>
    <mergeCell ref="D43:H43"/>
    <mergeCell ref="B44:H44"/>
    <mergeCell ref="D45:G45"/>
    <mergeCell ref="H45:H46"/>
    <mergeCell ref="D46:G46"/>
    <mergeCell ref="D6:H6"/>
    <mergeCell ref="B7:H7"/>
    <mergeCell ref="D8:G8"/>
    <mergeCell ref="H8:H9"/>
    <mergeCell ref="D9:G9"/>
    <mergeCell ref="B10:B11"/>
    <mergeCell ref="C10:C11"/>
    <mergeCell ref="H10:H11"/>
    <mergeCell ref="D11:G11"/>
    <mergeCell ref="B81:H81"/>
    <mergeCell ref="D82:G82"/>
    <mergeCell ref="H82:H83"/>
    <mergeCell ref="D83:G83"/>
    <mergeCell ref="B84:B85"/>
    <mergeCell ref="C84:C85"/>
    <mergeCell ref="H84:H85"/>
    <mergeCell ref="D85:G85"/>
    <mergeCell ref="B47:B48"/>
    <mergeCell ref="C47:C48"/>
    <mergeCell ref="H47:H48"/>
    <mergeCell ref="D48:G48"/>
    <mergeCell ref="D79:H79"/>
    <mergeCell ref="D80:H80"/>
    <mergeCell ref="B121:B122"/>
    <mergeCell ref="C121:C122"/>
    <mergeCell ref="H121:H122"/>
    <mergeCell ref="D122:G122"/>
    <mergeCell ref="D156:H156"/>
    <mergeCell ref="B157:H157"/>
    <mergeCell ref="D116:H116"/>
    <mergeCell ref="D117:H117"/>
    <mergeCell ref="B118:H118"/>
    <mergeCell ref="D119:G119"/>
    <mergeCell ref="H119:H120"/>
    <mergeCell ref="D120:G120"/>
    <mergeCell ref="D192:H192"/>
    <mergeCell ref="D193:H193"/>
    <mergeCell ref="B194:H194"/>
    <mergeCell ref="D195:G195"/>
    <mergeCell ref="H195:H196"/>
    <mergeCell ref="D196:G196"/>
    <mergeCell ref="D158:G158"/>
    <mergeCell ref="H158:H159"/>
    <mergeCell ref="D159:G159"/>
    <mergeCell ref="B160:B161"/>
    <mergeCell ref="C160:C161"/>
    <mergeCell ref="H160:H161"/>
    <mergeCell ref="D161:G161"/>
    <mergeCell ref="B231:H231"/>
    <mergeCell ref="D232:G232"/>
    <mergeCell ref="H232:H233"/>
    <mergeCell ref="D233:G233"/>
    <mergeCell ref="B234:B235"/>
    <mergeCell ref="C234:C235"/>
    <mergeCell ref="H234:H235"/>
    <mergeCell ref="D235:G235"/>
    <mergeCell ref="B197:B198"/>
    <mergeCell ref="C197:C198"/>
    <mergeCell ref="H197:H198"/>
    <mergeCell ref="D198:G198"/>
    <mergeCell ref="D229:H229"/>
    <mergeCell ref="D230:H230"/>
    <mergeCell ref="B271:B272"/>
    <mergeCell ref="C271:C272"/>
    <mergeCell ref="H271:H272"/>
    <mergeCell ref="D272:G272"/>
    <mergeCell ref="D306:H306"/>
    <mergeCell ref="B307:H307"/>
    <mergeCell ref="D266:H266"/>
    <mergeCell ref="D267:H267"/>
    <mergeCell ref="B268:H268"/>
    <mergeCell ref="D269:G269"/>
    <mergeCell ref="H269:H270"/>
    <mergeCell ref="D270:G270"/>
    <mergeCell ref="D342:H342"/>
    <mergeCell ref="D343:H343"/>
    <mergeCell ref="B344:H344"/>
    <mergeCell ref="D345:G345"/>
    <mergeCell ref="H345:H346"/>
    <mergeCell ref="D346:G346"/>
    <mergeCell ref="D308:G308"/>
    <mergeCell ref="H308:H309"/>
    <mergeCell ref="D309:G309"/>
    <mergeCell ref="B310:B311"/>
    <mergeCell ref="C310:C311"/>
    <mergeCell ref="H310:H311"/>
    <mergeCell ref="D311:G311"/>
    <mergeCell ref="B381:H381"/>
    <mergeCell ref="D382:G382"/>
    <mergeCell ref="H382:H383"/>
    <mergeCell ref="D383:G383"/>
    <mergeCell ref="B384:B385"/>
    <mergeCell ref="C384:C385"/>
    <mergeCell ref="H384:H385"/>
    <mergeCell ref="D385:G385"/>
    <mergeCell ref="B347:B348"/>
    <mergeCell ref="C347:C348"/>
    <mergeCell ref="H347:H348"/>
    <mergeCell ref="D348:G348"/>
    <mergeCell ref="D379:H379"/>
    <mergeCell ref="D380:H380"/>
    <mergeCell ref="B421:B422"/>
    <mergeCell ref="C421:C422"/>
    <mergeCell ref="H421:H422"/>
    <mergeCell ref="D422:G422"/>
    <mergeCell ref="D457:H457"/>
    <mergeCell ref="B458:H458"/>
    <mergeCell ref="D416:H416"/>
    <mergeCell ref="D417:H417"/>
    <mergeCell ref="B418:H418"/>
    <mergeCell ref="D419:G419"/>
    <mergeCell ref="H419:H420"/>
    <mergeCell ref="D420:G420"/>
    <mergeCell ref="D493:H493"/>
    <mergeCell ref="D494:H494"/>
    <mergeCell ref="B495:H495"/>
    <mergeCell ref="D496:G496"/>
    <mergeCell ref="H496:H497"/>
    <mergeCell ref="D497:G497"/>
    <mergeCell ref="D459:G459"/>
    <mergeCell ref="H459:H460"/>
    <mergeCell ref="D460:G460"/>
    <mergeCell ref="B461:B462"/>
    <mergeCell ref="C461:C462"/>
    <mergeCell ref="H461:H462"/>
    <mergeCell ref="D462:G462"/>
    <mergeCell ref="B532:H532"/>
    <mergeCell ref="D533:G533"/>
    <mergeCell ref="H533:H534"/>
    <mergeCell ref="D534:G534"/>
    <mergeCell ref="B535:B536"/>
    <mergeCell ref="C535:C536"/>
    <mergeCell ref="H535:H536"/>
    <mergeCell ref="D536:G536"/>
    <mergeCell ref="B498:B499"/>
    <mergeCell ref="C498:C499"/>
    <mergeCell ref="H498:H499"/>
    <mergeCell ref="D499:G499"/>
    <mergeCell ref="D530:H530"/>
    <mergeCell ref="D531:H531"/>
    <mergeCell ref="B572:B573"/>
    <mergeCell ref="C572:C573"/>
    <mergeCell ref="H572:H573"/>
    <mergeCell ref="D573:G573"/>
    <mergeCell ref="D608:H608"/>
    <mergeCell ref="B609:H609"/>
    <mergeCell ref="D567:H567"/>
    <mergeCell ref="D568:H568"/>
    <mergeCell ref="B569:H569"/>
    <mergeCell ref="D570:G570"/>
    <mergeCell ref="H570:H571"/>
    <mergeCell ref="D571:G571"/>
    <mergeCell ref="D644:H644"/>
    <mergeCell ref="D645:H645"/>
    <mergeCell ref="B646:H646"/>
    <mergeCell ref="D647:G647"/>
    <mergeCell ref="H647:H648"/>
    <mergeCell ref="D648:G648"/>
    <mergeCell ref="D610:G610"/>
    <mergeCell ref="H610:H611"/>
    <mergeCell ref="D611:G611"/>
    <mergeCell ref="B612:B613"/>
    <mergeCell ref="C612:C613"/>
    <mergeCell ref="H612:H613"/>
    <mergeCell ref="D613:G613"/>
    <mergeCell ref="B683:H683"/>
    <mergeCell ref="D684:G684"/>
    <mergeCell ref="H684:H685"/>
    <mergeCell ref="D685:G685"/>
    <mergeCell ref="B686:B687"/>
    <mergeCell ref="C686:C687"/>
    <mergeCell ref="H686:H687"/>
    <mergeCell ref="D687:G687"/>
    <mergeCell ref="B649:B650"/>
    <mergeCell ref="C649:C650"/>
    <mergeCell ref="H649:H650"/>
    <mergeCell ref="D650:G650"/>
    <mergeCell ref="D681:H681"/>
    <mergeCell ref="D682:H682"/>
    <mergeCell ref="B723:B724"/>
    <mergeCell ref="C723:C724"/>
    <mergeCell ref="H723:H724"/>
    <mergeCell ref="D724:G724"/>
    <mergeCell ref="D718:H718"/>
    <mergeCell ref="D719:H719"/>
    <mergeCell ref="B720:H720"/>
    <mergeCell ref="D721:G721"/>
    <mergeCell ref="H721:H722"/>
    <mergeCell ref="D722:G7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3:Y147"/>
  <sheetViews>
    <sheetView tabSelected="1" topLeftCell="A3" zoomScale="90" zoomScaleNormal="90" workbookViewId="0">
      <selection activeCell="L32" sqref="L32"/>
    </sheetView>
  </sheetViews>
  <sheetFormatPr defaultColWidth="9" defaultRowHeight="14.4" x14ac:dyDescent="0.3"/>
  <cols>
    <col min="1" max="1" width="2" style="3" customWidth="1"/>
    <col min="2" max="2" width="6.125" style="3" customWidth="1"/>
    <col min="3" max="3" width="25.625" style="3" customWidth="1"/>
    <col min="4" max="4" width="20.25" style="41" bestFit="1" customWidth="1"/>
    <col min="5" max="5" width="13" style="41" customWidth="1"/>
    <col min="6" max="6" width="14.875" style="41" customWidth="1"/>
    <col min="7" max="7" width="14.625" style="41" customWidth="1"/>
    <col min="8" max="9" width="13" style="41" customWidth="1"/>
    <col min="10" max="10" width="9" style="41"/>
    <col min="11" max="12" width="13" style="41" customWidth="1"/>
    <col min="13" max="13" width="21.875" style="3" customWidth="1"/>
    <col min="14" max="16" width="15.375" style="3" bestFit="1" customWidth="1"/>
    <col min="17" max="24" width="9" style="3"/>
    <col min="25" max="25" width="15.375" style="3" bestFit="1" customWidth="1"/>
    <col min="26" max="16384" width="9" style="3"/>
  </cols>
  <sheetData>
    <row r="3" spans="2:25" ht="48" customHeight="1" x14ac:dyDescent="0.3">
      <c r="B3" s="27"/>
      <c r="C3" s="27"/>
      <c r="D3" s="114" t="s">
        <v>5</v>
      </c>
      <c r="E3" s="115"/>
      <c r="F3" s="115"/>
      <c r="G3" s="115"/>
      <c r="H3" s="115"/>
      <c r="I3" s="115"/>
      <c r="J3" s="63"/>
      <c r="K3" s="63"/>
      <c r="L3" s="63"/>
      <c r="M3" s="1"/>
    </row>
    <row r="4" spans="2:25" ht="15.6" x14ac:dyDescent="0.3">
      <c r="B4" s="128" t="s">
        <v>84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"/>
    </row>
    <row r="5" spans="2:25" x14ac:dyDescent="0.3">
      <c r="B5" s="15"/>
      <c r="C5" s="16"/>
      <c r="D5" s="118" t="s">
        <v>6</v>
      </c>
      <c r="E5" s="119"/>
      <c r="F5" s="119"/>
      <c r="G5" s="120"/>
      <c r="H5" s="121" t="s">
        <v>7</v>
      </c>
      <c r="I5" s="122"/>
      <c r="J5" s="64"/>
      <c r="K5" s="121" t="s">
        <v>8</v>
      </c>
      <c r="L5" s="122"/>
      <c r="M5" s="1"/>
    </row>
    <row r="6" spans="2:25" x14ac:dyDescent="0.3">
      <c r="B6" s="13"/>
      <c r="C6" s="14"/>
      <c r="D6" s="125" t="s">
        <v>9</v>
      </c>
      <c r="E6" s="126"/>
      <c r="F6" s="126"/>
      <c r="G6" s="127"/>
      <c r="H6" s="123"/>
      <c r="I6" s="124"/>
      <c r="J6" s="64"/>
      <c r="K6" s="123"/>
      <c r="L6" s="124"/>
      <c r="M6" s="1"/>
    </row>
    <row r="7" spans="2:25" ht="18.899999999999999" customHeight="1" x14ac:dyDescent="0.3">
      <c r="B7" s="132" t="s">
        <v>10</v>
      </c>
      <c r="C7" s="134" t="s">
        <v>11</v>
      </c>
      <c r="D7" s="62" t="s">
        <v>12</v>
      </c>
      <c r="E7" s="62" t="s">
        <v>13</v>
      </c>
      <c r="F7" s="62" t="s">
        <v>14</v>
      </c>
      <c r="G7" s="62" t="s">
        <v>15</v>
      </c>
      <c r="H7" s="136" t="s">
        <v>16</v>
      </c>
      <c r="I7" s="138" t="s">
        <v>17</v>
      </c>
      <c r="J7" s="65"/>
      <c r="K7" s="136" t="s">
        <v>18</v>
      </c>
      <c r="L7" s="138" t="s">
        <v>19</v>
      </c>
      <c r="M7" s="1"/>
    </row>
    <row r="8" spans="2:25" ht="36" customHeight="1" x14ac:dyDescent="0.3">
      <c r="B8" s="133"/>
      <c r="C8" s="135"/>
      <c r="D8" s="129" t="s">
        <v>20</v>
      </c>
      <c r="E8" s="130"/>
      <c r="F8" s="130"/>
      <c r="G8" s="131"/>
      <c r="H8" s="137"/>
      <c r="I8" s="139"/>
      <c r="J8" s="65"/>
      <c r="K8" s="137"/>
      <c r="L8" s="139"/>
      <c r="M8" s="1"/>
    </row>
    <row r="9" spans="2:25" x14ac:dyDescent="0.3">
      <c r="B9" s="42">
        <v>4</v>
      </c>
      <c r="C9" s="40" t="s">
        <v>21</v>
      </c>
      <c r="D9" s="21">
        <v>1795192.45</v>
      </c>
      <c r="E9" s="21">
        <v>0</v>
      </c>
      <c r="F9" s="45">
        <f>+D9+E9</f>
        <v>1795192.45</v>
      </c>
      <c r="G9" s="21">
        <f>+F9</f>
        <v>1795192.45</v>
      </c>
      <c r="H9" s="46">
        <f t="shared" ref="H9:H19" si="0">((G9-I9)/I9)*100</f>
        <v>155.94298999897705</v>
      </c>
      <c r="I9" s="21">
        <v>701403.25</v>
      </c>
      <c r="J9" s="47"/>
      <c r="K9" s="48">
        <f t="shared" ref="K9:K19" si="1">((G9-L9)/L9)*100</f>
        <v>-36.09110682508981</v>
      </c>
      <c r="L9" s="23">
        <f>+(701403.25+2705521.5+5020036.01)/3</f>
        <v>2808986.92</v>
      </c>
      <c r="M9" s="1"/>
      <c r="Y9" s="39"/>
    </row>
    <row r="10" spans="2:25" x14ac:dyDescent="0.3">
      <c r="B10" s="42">
        <v>5</v>
      </c>
      <c r="C10" s="40" t="s">
        <v>22</v>
      </c>
      <c r="D10" s="26">
        <v>6433422.9199999999</v>
      </c>
      <c r="E10" s="26">
        <v>0</v>
      </c>
      <c r="F10" s="49">
        <f>+E10+D10</f>
        <v>6433422.9199999999</v>
      </c>
      <c r="G10" s="26">
        <f>+G9+F10</f>
        <v>8228615.3700000001</v>
      </c>
      <c r="H10" s="50">
        <f t="shared" si="0"/>
        <v>42.070335862514163</v>
      </c>
      <c r="I10" s="26">
        <f>701403.25+5090527.43</f>
        <v>5791930.6799999997</v>
      </c>
      <c r="J10" s="47"/>
      <c r="K10" s="50">
        <f t="shared" si="1"/>
        <v>-8.394561661671462</v>
      </c>
      <c r="L10" s="26">
        <f>+(701403.25+2705521.5+5020036.01+5090527.43+6060755.3+7369770.25)/3</f>
        <v>8982671.2466666661</v>
      </c>
      <c r="M10" s="1"/>
    </row>
    <row r="11" spans="2:25" x14ac:dyDescent="0.3">
      <c r="B11" s="42">
        <v>6</v>
      </c>
      <c r="C11" s="40" t="s">
        <v>23</v>
      </c>
      <c r="D11" s="26">
        <v>9568155.3900000006</v>
      </c>
      <c r="E11" s="26">
        <v>0</v>
      </c>
      <c r="F11" s="49">
        <f>+E11+D11</f>
        <v>9568155.3900000006</v>
      </c>
      <c r="G11" s="26">
        <f t="shared" ref="G11:G31" si="2">+G10+F11</f>
        <v>17796770.760000002</v>
      </c>
      <c r="H11" s="50">
        <f t="shared" si="0"/>
        <v>71.120999985967458</v>
      </c>
      <c r="I11" s="26">
        <f>+I10+4608178.46</f>
        <v>10400109.140000001</v>
      </c>
      <c r="J11" s="47"/>
      <c r="K11" s="50">
        <f t="shared" si="1"/>
        <v>21.915601960924654</v>
      </c>
      <c r="L11" s="26">
        <v>14597615.460000001</v>
      </c>
      <c r="M11" s="43"/>
      <c r="O11" s="39"/>
      <c r="P11" s="39"/>
    </row>
    <row r="12" spans="2:25" x14ac:dyDescent="0.3">
      <c r="B12" s="42">
        <v>7</v>
      </c>
      <c r="C12" s="40" t="s">
        <v>24</v>
      </c>
      <c r="D12" s="26">
        <v>4340829.42</v>
      </c>
      <c r="E12" s="26">
        <f>+Thompsons!E12+Flame!E12+'SA Sultana'!E12+'OR Sultana'!E12+Goldens!E12+Currants!E12+Other!E12</f>
        <v>4861144</v>
      </c>
      <c r="F12" s="49">
        <f t="shared" ref="F12:F31" si="3">+E12+D12</f>
        <v>9201973.4199999999</v>
      </c>
      <c r="G12" s="26">
        <f>+G11+F12</f>
        <v>26998744.18</v>
      </c>
      <c r="H12" s="50">
        <f t="shared" si="0"/>
        <v>52.153390722566151</v>
      </c>
      <c r="I12" s="26">
        <f>+I11+7344315.78</f>
        <v>17744424.920000002</v>
      </c>
      <c r="J12" s="47"/>
      <c r="K12" s="50">
        <f t="shared" si="1"/>
        <v>21.738671963785709</v>
      </c>
      <c r="L12" s="26">
        <f>66532870.15/3</f>
        <v>22177623.383333333</v>
      </c>
      <c r="M12" s="43"/>
      <c r="N12" s="41"/>
    </row>
    <row r="13" spans="2:25" x14ac:dyDescent="0.3">
      <c r="B13" s="42">
        <v>8</v>
      </c>
      <c r="C13" s="40" t="s">
        <v>25</v>
      </c>
      <c r="D13" s="26">
        <v>8409847.0700000003</v>
      </c>
      <c r="E13" s="26">
        <v>0</v>
      </c>
      <c r="F13" s="49">
        <f t="shared" si="3"/>
        <v>8409847.0700000003</v>
      </c>
      <c r="G13" s="26">
        <f t="shared" ref="G13:G14" si="4">+G12+F13</f>
        <v>35408591.25</v>
      </c>
      <c r="H13" s="50">
        <f t="shared" si="0"/>
        <v>32.938579511486765</v>
      </c>
      <c r="I13" s="26">
        <v>26635301.34</v>
      </c>
      <c r="J13" s="47"/>
      <c r="K13" s="50">
        <f t="shared" si="1"/>
        <v>14.048078642294223</v>
      </c>
      <c r="L13" s="26">
        <f>93141221.68/3</f>
        <v>31047073.893333334</v>
      </c>
      <c r="M13" s="1"/>
    </row>
    <row r="14" spans="2:25" x14ac:dyDescent="0.3">
      <c r="B14" s="42">
        <v>9</v>
      </c>
      <c r="C14" s="40" t="s">
        <v>26</v>
      </c>
      <c r="D14" s="26">
        <v>6650673.9299999997</v>
      </c>
      <c r="E14" s="26">
        <v>0</v>
      </c>
      <c r="F14" s="49">
        <f t="shared" si="3"/>
        <v>6650673.9299999997</v>
      </c>
      <c r="G14" s="50">
        <f t="shared" si="4"/>
        <v>42059265.18</v>
      </c>
      <c r="H14" s="50">
        <f t="shared" si="0"/>
        <v>18.765085294794883</v>
      </c>
      <c r="I14" s="26">
        <v>35413829.810000002</v>
      </c>
      <c r="J14" s="47"/>
      <c r="K14" s="50">
        <f t="shared" si="1"/>
        <v>2.8597307542412906</v>
      </c>
      <c r="L14" s="26">
        <f>122669770.39/3</f>
        <v>40889923.463333331</v>
      </c>
      <c r="M14" s="1"/>
    </row>
    <row r="15" spans="2:25" x14ac:dyDescent="0.3">
      <c r="B15" s="42">
        <v>10</v>
      </c>
      <c r="C15" s="40" t="s">
        <v>67</v>
      </c>
      <c r="D15" s="26">
        <v>13010335.75</v>
      </c>
      <c r="E15" s="26">
        <v>0</v>
      </c>
      <c r="F15" s="49">
        <f>+E15+D15</f>
        <v>13010335.75</v>
      </c>
      <c r="G15" s="26">
        <f>+G14+F15</f>
        <v>55069600.93</v>
      </c>
      <c r="H15" s="50">
        <f t="shared" si="0"/>
        <v>14.083110881066171</v>
      </c>
      <c r="I15" s="26">
        <v>48271475.509999998</v>
      </c>
      <c r="J15" s="47"/>
      <c r="K15" s="50">
        <f t="shared" si="1"/>
        <v>6.484064511493087</v>
      </c>
      <c r="L15" s="26">
        <v>51716283.729999997</v>
      </c>
      <c r="M15" s="1"/>
    </row>
    <row r="16" spans="2:25" x14ac:dyDescent="0.3">
      <c r="B16" s="42">
        <v>11</v>
      </c>
      <c r="C16" s="40" t="s">
        <v>68</v>
      </c>
      <c r="D16" s="26">
        <v>11665782.33</v>
      </c>
      <c r="E16" s="26">
        <v>0</v>
      </c>
      <c r="F16" s="49">
        <f t="shared" ref="F16:F19" si="5">+E16+D16</f>
        <v>11665782.33</v>
      </c>
      <c r="G16" s="26">
        <f>+G15+F16</f>
        <v>66735383.259999998</v>
      </c>
      <c r="H16" s="50">
        <f t="shared" si="0"/>
        <v>15.85713435916653</v>
      </c>
      <c r="I16" s="26">
        <f>+I15+9329969.26</f>
        <v>57601444.769999996</v>
      </c>
      <c r="J16" s="47"/>
      <c r="K16" s="50">
        <f t="shared" si="1"/>
        <v>11.248638143243445</v>
      </c>
      <c r="L16" s="26">
        <v>59987595.689999998</v>
      </c>
      <c r="M16" s="1"/>
    </row>
    <row r="17" spans="2:14" x14ac:dyDescent="0.3">
      <c r="B17" s="42">
        <v>12</v>
      </c>
      <c r="C17" s="40" t="s">
        <v>83</v>
      </c>
      <c r="D17" s="26">
        <v>11486068.300000001</v>
      </c>
      <c r="E17" s="26">
        <v>0</v>
      </c>
      <c r="F17" s="49">
        <f t="shared" si="5"/>
        <v>11486068.300000001</v>
      </c>
      <c r="G17" s="26">
        <f t="shared" ref="G17:G19" si="6">+G16+F17</f>
        <v>78221451.560000002</v>
      </c>
      <c r="H17" s="50">
        <f t="shared" si="0"/>
        <v>17.124588068455466</v>
      </c>
      <c r="I17" s="26">
        <v>66784825.329999998</v>
      </c>
      <c r="J17" s="47"/>
      <c r="K17" s="50">
        <f t="shared" si="1"/>
        <v>17.838291340110974</v>
      </c>
      <c r="L17" s="26">
        <v>66380334.159999996</v>
      </c>
      <c r="M17" s="1"/>
    </row>
    <row r="18" spans="2:14" x14ac:dyDescent="0.3">
      <c r="B18" s="42">
        <v>13</v>
      </c>
      <c r="C18" s="40" t="s">
        <v>69</v>
      </c>
      <c r="D18" s="26">
        <v>6744613.4299999997</v>
      </c>
      <c r="E18" s="26">
        <v>0</v>
      </c>
      <c r="F18" s="49">
        <f t="shared" si="5"/>
        <v>6744613.4299999997</v>
      </c>
      <c r="G18" s="26">
        <f t="shared" si="6"/>
        <v>84966064.99000001</v>
      </c>
      <c r="H18" s="50">
        <f t="shared" si="0"/>
        <v>16.383548680671637</v>
      </c>
      <c r="I18" s="26">
        <v>73005219.340000004</v>
      </c>
      <c r="J18" s="47"/>
      <c r="K18" s="50">
        <f t="shared" si="1"/>
        <v>19.976490587514608</v>
      </c>
      <c r="L18" s="26">
        <v>70818928.420000002</v>
      </c>
      <c r="M18" s="1"/>
    </row>
    <row r="19" spans="2:14" x14ac:dyDescent="0.3">
      <c r="B19" s="42">
        <v>14</v>
      </c>
      <c r="C19" s="86" t="s">
        <v>70</v>
      </c>
      <c r="D19" s="26">
        <v>1858001.64</v>
      </c>
      <c r="E19" s="26">
        <v>0</v>
      </c>
      <c r="F19" s="49">
        <f t="shared" si="5"/>
        <v>1858001.64</v>
      </c>
      <c r="G19" s="51">
        <f t="shared" si="6"/>
        <v>86824066.63000001</v>
      </c>
      <c r="H19" s="50">
        <f t="shared" si="0"/>
        <v>8.6618247479971924</v>
      </c>
      <c r="I19" s="26">
        <f>+I18+6897788.76</f>
        <v>79903008.100000009</v>
      </c>
      <c r="J19" s="47"/>
      <c r="K19" s="50">
        <f t="shared" si="1"/>
        <v>17.045005648537455</v>
      </c>
      <c r="L19" s="26">
        <v>74180069.579999998</v>
      </c>
      <c r="M19" s="1"/>
    </row>
    <row r="20" spans="2:14" hidden="1" x14ac:dyDescent="0.3">
      <c r="B20" s="11">
        <v>15</v>
      </c>
      <c r="C20" s="17" t="s">
        <v>27</v>
      </c>
      <c r="D20" s="26"/>
      <c r="E20" s="26"/>
      <c r="F20" s="49">
        <f t="shared" si="3"/>
        <v>0</v>
      </c>
      <c r="G20" s="26">
        <f t="shared" si="2"/>
        <v>86824066.63000001</v>
      </c>
      <c r="H20" s="50">
        <v>0</v>
      </c>
      <c r="I20" s="26">
        <v>0</v>
      </c>
      <c r="J20" s="47"/>
      <c r="K20" s="50">
        <v>0</v>
      </c>
      <c r="L20" s="26">
        <v>0</v>
      </c>
      <c r="M20" s="1"/>
    </row>
    <row r="21" spans="2:14" hidden="1" x14ac:dyDescent="0.3">
      <c r="B21" s="11">
        <v>16</v>
      </c>
      <c r="C21" s="17" t="s">
        <v>28</v>
      </c>
      <c r="D21" s="26"/>
      <c r="E21" s="26"/>
      <c r="F21" s="49">
        <f t="shared" si="3"/>
        <v>0</v>
      </c>
      <c r="G21" s="26">
        <f t="shared" si="2"/>
        <v>86824066.63000001</v>
      </c>
      <c r="H21" s="50">
        <v>0</v>
      </c>
      <c r="I21" s="26">
        <v>0</v>
      </c>
      <c r="J21" s="47"/>
      <c r="K21" s="50">
        <v>0</v>
      </c>
      <c r="L21" s="26">
        <v>0</v>
      </c>
      <c r="M21" s="1"/>
    </row>
    <row r="22" spans="2:14" hidden="1" x14ac:dyDescent="0.3">
      <c r="B22" s="11">
        <v>17</v>
      </c>
      <c r="C22" s="17" t="s">
        <v>29</v>
      </c>
      <c r="D22" s="26"/>
      <c r="E22" s="26"/>
      <c r="F22" s="49">
        <f t="shared" si="3"/>
        <v>0</v>
      </c>
      <c r="G22" s="26">
        <f t="shared" si="2"/>
        <v>86824066.63000001</v>
      </c>
      <c r="H22" s="50">
        <v>0</v>
      </c>
      <c r="I22" s="26">
        <v>0</v>
      </c>
      <c r="J22" s="47"/>
      <c r="K22" s="50">
        <v>0</v>
      </c>
      <c r="L22" s="26">
        <v>0</v>
      </c>
      <c r="M22" s="1"/>
    </row>
    <row r="23" spans="2:14" hidden="1" x14ac:dyDescent="0.3">
      <c r="B23" s="11">
        <v>18</v>
      </c>
      <c r="C23" s="17" t="s">
        <v>30</v>
      </c>
      <c r="D23" s="26"/>
      <c r="E23" s="26"/>
      <c r="F23" s="49">
        <f t="shared" si="3"/>
        <v>0</v>
      </c>
      <c r="G23" s="26">
        <f t="shared" si="2"/>
        <v>86824066.63000001</v>
      </c>
      <c r="H23" s="50">
        <v>0</v>
      </c>
      <c r="I23" s="26">
        <v>0</v>
      </c>
      <c r="J23" s="47"/>
      <c r="K23" s="50">
        <v>0</v>
      </c>
      <c r="L23" s="26">
        <v>0</v>
      </c>
      <c r="M23" s="1"/>
    </row>
    <row r="24" spans="2:14" hidden="1" x14ac:dyDescent="0.3">
      <c r="B24" s="11">
        <v>19</v>
      </c>
      <c r="C24" s="17" t="s">
        <v>31</v>
      </c>
      <c r="D24" s="26"/>
      <c r="E24" s="26"/>
      <c r="F24" s="49">
        <f t="shared" si="3"/>
        <v>0</v>
      </c>
      <c r="G24" s="26">
        <f t="shared" si="2"/>
        <v>86824066.63000001</v>
      </c>
      <c r="H24" s="50">
        <v>0</v>
      </c>
      <c r="I24" s="26">
        <v>0</v>
      </c>
      <c r="J24" s="47"/>
      <c r="K24" s="50">
        <v>0</v>
      </c>
      <c r="L24" s="26">
        <v>0</v>
      </c>
      <c r="M24" s="1"/>
    </row>
    <row r="25" spans="2:14" hidden="1" x14ac:dyDescent="0.3">
      <c r="B25" s="11">
        <v>20</v>
      </c>
      <c r="C25" s="17" t="s">
        <v>32</v>
      </c>
      <c r="D25" s="26"/>
      <c r="E25" s="26"/>
      <c r="F25" s="49">
        <f t="shared" si="3"/>
        <v>0</v>
      </c>
      <c r="G25" s="26">
        <f t="shared" si="2"/>
        <v>86824066.63000001</v>
      </c>
      <c r="H25" s="50">
        <v>0</v>
      </c>
      <c r="I25" s="26">
        <v>0</v>
      </c>
      <c r="J25" s="47"/>
      <c r="K25" s="50">
        <v>0</v>
      </c>
      <c r="L25" s="26">
        <v>0</v>
      </c>
      <c r="M25" s="1"/>
    </row>
    <row r="26" spans="2:14" hidden="1" x14ac:dyDescent="0.3">
      <c r="B26" s="11">
        <v>21</v>
      </c>
      <c r="C26" s="17" t="s">
        <v>33</v>
      </c>
      <c r="D26" s="26"/>
      <c r="E26" s="26"/>
      <c r="F26" s="49">
        <f t="shared" si="3"/>
        <v>0</v>
      </c>
      <c r="G26" s="26">
        <f t="shared" si="2"/>
        <v>86824066.63000001</v>
      </c>
      <c r="H26" s="50">
        <v>0</v>
      </c>
      <c r="I26" s="26">
        <v>0</v>
      </c>
      <c r="J26" s="47"/>
      <c r="K26" s="50">
        <v>0</v>
      </c>
      <c r="L26" s="26">
        <v>0</v>
      </c>
      <c r="M26" s="1"/>
    </row>
    <row r="27" spans="2:14" hidden="1" x14ac:dyDescent="0.3">
      <c r="B27" s="11">
        <v>22</v>
      </c>
      <c r="C27" s="17" t="s">
        <v>34</v>
      </c>
      <c r="D27" s="26"/>
      <c r="E27" s="26"/>
      <c r="F27" s="49">
        <f t="shared" si="3"/>
        <v>0</v>
      </c>
      <c r="G27" s="26">
        <f t="shared" si="2"/>
        <v>86824066.63000001</v>
      </c>
      <c r="H27" s="50">
        <v>0</v>
      </c>
      <c r="I27" s="26">
        <v>0</v>
      </c>
      <c r="J27" s="47"/>
      <c r="K27" s="50">
        <v>0</v>
      </c>
      <c r="L27" s="26">
        <v>0</v>
      </c>
      <c r="M27" s="1"/>
    </row>
    <row r="28" spans="2:14" hidden="1" x14ac:dyDescent="0.3">
      <c r="B28" s="11">
        <v>23</v>
      </c>
      <c r="C28" s="17" t="s">
        <v>35</v>
      </c>
      <c r="D28" s="26"/>
      <c r="E28" s="26"/>
      <c r="F28" s="49">
        <f t="shared" si="3"/>
        <v>0</v>
      </c>
      <c r="G28" s="26">
        <f t="shared" si="2"/>
        <v>86824066.63000001</v>
      </c>
      <c r="H28" s="50">
        <v>0</v>
      </c>
      <c r="I28" s="26">
        <v>0</v>
      </c>
      <c r="J28" s="47"/>
      <c r="K28" s="50">
        <v>0</v>
      </c>
      <c r="L28" s="26">
        <v>0</v>
      </c>
      <c r="M28" s="1"/>
    </row>
    <row r="29" spans="2:14" hidden="1" x14ac:dyDescent="0.3">
      <c r="B29" s="11">
        <v>24</v>
      </c>
      <c r="C29" s="17" t="s">
        <v>36</v>
      </c>
      <c r="D29" s="26"/>
      <c r="E29" s="26"/>
      <c r="F29" s="49">
        <f t="shared" si="3"/>
        <v>0</v>
      </c>
      <c r="G29" s="26">
        <f t="shared" si="2"/>
        <v>86824066.63000001</v>
      </c>
      <c r="H29" s="50">
        <v>0</v>
      </c>
      <c r="I29" s="26">
        <v>0</v>
      </c>
      <c r="J29" s="47"/>
      <c r="K29" s="50">
        <v>0</v>
      </c>
      <c r="L29" s="26">
        <v>0</v>
      </c>
      <c r="M29" s="1"/>
    </row>
    <row r="30" spans="2:14" hidden="1" x14ac:dyDescent="0.3">
      <c r="B30" s="11">
        <v>25</v>
      </c>
      <c r="C30" s="18" t="s">
        <v>37</v>
      </c>
      <c r="D30" s="26"/>
      <c r="E30" s="26"/>
      <c r="F30" s="49">
        <f t="shared" si="3"/>
        <v>0</v>
      </c>
      <c r="G30" s="26">
        <f t="shared" si="2"/>
        <v>86824066.63000001</v>
      </c>
      <c r="H30" s="50">
        <v>0</v>
      </c>
      <c r="I30" s="26">
        <v>0</v>
      </c>
      <c r="J30" s="47"/>
      <c r="K30" s="50">
        <v>0</v>
      </c>
      <c r="L30" s="26">
        <v>0</v>
      </c>
      <c r="M30" s="1"/>
    </row>
    <row r="31" spans="2:14" hidden="1" x14ac:dyDescent="0.3">
      <c r="B31" s="11">
        <v>26</v>
      </c>
      <c r="C31" s="18" t="s">
        <v>38</v>
      </c>
      <c r="D31" s="26"/>
      <c r="E31" s="26"/>
      <c r="F31" s="49">
        <f t="shared" si="3"/>
        <v>0</v>
      </c>
      <c r="G31" s="26">
        <f t="shared" si="2"/>
        <v>86824066.63000001</v>
      </c>
      <c r="H31" s="50">
        <v>0</v>
      </c>
      <c r="I31" s="26">
        <v>0</v>
      </c>
      <c r="J31" s="47"/>
      <c r="K31" s="50">
        <v>0</v>
      </c>
      <c r="L31" s="26">
        <v>0</v>
      </c>
      <c r="M31" s="1"/>
    </row>
    <row r="32" spans="2:14" x14ac:dyDescent="0.3">
      <c r="B32" s="5"/>
      <c r="C32" s="5"/>
      <c r="D32" s="6"/>
      <c r="E32" s="6"/>
      <c r="F32" s="6"/>
      <c r="G32" s="6"/>
      <c r="H32" s="6"/>
      <c r="I32" s="6"/>
      <c r="J32" s="6"/>
      <c r="K32" s="6"/>
      <c r="L32" s="6"/>
      <c r="M32" s="43"/>
      <c r="N32" s="41"/>
    </row>
    <row r="33" spans="2:14" x14ac:dyDescent="0.3">
      <c r="B33" s="8" t="s">
        <v>39</v>
      </c>
      <c r="C33" s="5"/>
      <c r="D33" s="6"/>
      <c r="E33" s="6"/>
      <c r="F33" s="6"/>
      <c r="G33" s="2"/>
      <c r="H33" s="6"/>
      <c r="I33" s="6"/>
      <c r="J33" s="6"/>
      <c r="M33" s="41"/>
      <c r="N33" s="41"/>
    </row>
    <row r="34" spans="2:14" x14ac:dyDescent="0.3">
      <c r="B34" s="9" t="s">
        <v>40</v>
      </c>
      <c r="C34" s="5"/>
      <c r="D34" s="6"/>
      <c r="E34" s="6"/>
      <c r="F34" s="6"/>
      <c r="G34" s="2"/>
      <c r="H34" s="6"/>
      <c r="I34" s="6"/>
      <c r="J34" s="6"/>
    </row>
    <row r="35" spans="2:14" x14ac:dyDescent="0.3">
      <c r="B35" s="9" t="s">
        <v>41</v>
      </c>
      <c r="C35" s="5"/>
      <c r="D35" s="6"/>
      <c r="E35" s="6"/>
      <c r="F35" s="6"/>
      <c r="G35" s="2"/>
      <c r="H35" s="6"/>
      <c r="I35" s="6"/>
      <c r="J35" s="6"/>
    </row>
    <row r="36" spans="2:14" x14ac:dyDescent="0.3">
      <c r="B36" s="9" t="s">
        <v>42</v>
      </c>
      <c r="C36" s="5"/>
      <c r="D36" s="6"/>
      <c r="E36" s="6"/>
      <c r="F36" s="6"/>
      <c r="G36" s="2"/>
      <c r="H36" s="6"/>
      <c r="I36" s="6"/>
      <c r="J36" s="6"/>
    </row>
    <row r="37" spans="2:14" x14ac:dyDescent="0.3">
      <c r="B37" s="10"/>
      <c r="C37" s="10"/>
      <c r="D37" s="44"/>
      <c r="E37" s="44"/>
      <c r="F37" s="44"/>
      <c r="G37" s="2"/>
      <c r="H37" s="44"/>
      <c r="I37" s="44"/>
      <c r="J37" s="44"/>
      <c r="K37" s="44"/>
      <c r="L37" s="44"/>
      <c r="M37" s="39"/>
    </row>
    <row r="38" spans="2:14" x14ac:dyDescent="0.3">
      <c r="B38" s="9"/>
      <c r="C38" s="5"/>
      <c r="D38" s="6"/>
      <c r="E38" s="6"/>
      <c r="F38" s="6"/>
      <c r="G38" s="6"/>
      <c r="H38" s="6"/>
      <c r="I38" s="6"/>
      <c r="J38" s="6"/>
      <c r="K38" s="43"/>
    </row>
    <row r="39" spans="2:14" ht="18" x14ac:dyDescent="0.35">
      <c r="B39" s="10"/>
      <c r="C39" s="10"/>
      <c r="D39" s="116" t="s">
        <v>43</v>
      </c>
      <c r="E39" s="116"/>
      <c r="F39" s="116"/>
      <c r="G39" s="116"/>
      <c r="H39" s="116"/>
      <c r="I39" s="116"/>
      <c r="J39" s="44"/>
    </row>
    <row r="40" spans="2:14" s="37" customFormat="1" ht="21" x14ac:dyDescent="0.4">
      <c r="B40" s="27"/>
      <c r="C40" s="27"/>
      <c r="D40" s="117" t="s">
        <v>44</v>
      </c>
      <c r="E40" s="117"/>
      <c r="F40" s="117"/>
      <c r="G40" s="117"/>
      <c r="H40" s="117"/>
      <c r="I40" s="117"/>
      <c r="J40" s="63"/>
      <c r="K40" s="68"/>
      <c r="L40" s="68"/>
    </row>
    <row r="41" spans="2:14" ht="15.9" customHeight="1" x14ac:dyDescent="0.3">
      <c r="B41" s="128" t="s">
        <v>84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39"/>
    </row>
    <row r="42" spans="2:14" ht="15" customHeight="1" x14ac:dyDescent="0.3">
      <c r="B42" s="15"/>
      <c r="C42" s="16"/>
      <c r="D42" s="118" t="s">
        <v>6</v>
      </c>
      <c r="E42" s="119"/>
      <c r="F42" s="119"/>
      <c r="G42" s="120"/>
      <c r="H42" s="121" t="s">
        <v>7</v>
      </c>
      <c r="I42" s="122"/>
      <c r="J42" s="64"/>
      <c r="K42" s="121" t="s">
        <v>8</v>
      </c>
      <c r="L42" s="122"/>
    </row>
    <row r="43" spans="2:14" ht="14.4" customHeight="1" x14ac:dyDescent="0.3">
      <c r="B43" s="13"/>
      <c r="C43" s="14"/>
      <c r="D43" s="125" t="s">
        <v>9</v>
      </c>
      <c r="E43" s="126"/>
      <c r="F43" s="126"/>
      <c r="G43" s="127"/>
      <c r="H43" s="123"/>
      <c r="I43" s="124"/>
      <c r="J43" s="64"/>
      <c r="K43" s="123"/>
      <c r="L43" s="124"/>
    </row>
    <row r="44" spans="2:14" ht="14.4" customHeight="1" x14ac:dyDescent="0.3">
      <c r="B44" s="132" t="s">
        <v>10</v>
      </c>
      <c r="C44" s="134" t="s">
        <v>11</v>
      </c>
      <c r="D44" s="62" t="s">
        <v>12</v>
      </c>
      <c r="E44" s="62" t="s">
        <v>13</v>
      </c>
      <c r="F44" s="62" t="s">
        <v>14</v>
      </c>
      <c r="G44" s="62" t="s">
        <v>15</v>
      </c>
      <c r="H44" s="136" t="s">
        <v>16</v>
      </c>
      <c r="I44" s="138" t="s">
        <v>17</v>
      </c>
      <c r="J44" s="65"/>
      <c r="K44" s="136" t="s">
        <v>18</v>
      </c>
      <c r="L44" s="138" t="s">
        <v>19</v>
      </c>
    </row>
    <row r="45" spans="2:14" ht="38.4" customHeight="1" x14ac:dyDescent="0.3">
      <c r="B45" s="133"/>
      <c r="C45" s="135"/>
      <c r="D45" s="129" t="s">
        <v>20</v>
      </c>
      <c r="E45" s="130"/>
      <c r="F45" s="130"/>
      <c r="G45" s="131"/>
      <c r="H45" s="137"/>
      <c r="I45" s="139"/>
      <c r="J45" s="65"/>
      <c r="K45" s="137"/>
      <c r="L45" s="139"/>
    </row>
    <row r="46" spans="2:14" x14ac:dyDescent="0.3">
      <c r="B46" s="42">
        <v>4</v>
      </c>
      <c r="C46" s="40" t="s">
        <v>21</v>
      </c>
      <c r="D46" s="21">
        <v>1599778.44</v>
      </c>
      <c r="E46" s="21">
        <v>0</v>
      </c>
      <c r="F46" s="45">
        <f>+D46+E46</f>
        <v>1599778.44</v>
      </c>
      <c r="G46" s="21">
        <f>+F46</f>
        <v>1599778.44</v>
      </c>
      <c r="H46" s="46">
        <f t="shared" ref="H46:H68" si="7">((G46-I46)/I46)*100</f>
        <v>128.08255308198244</v>
      </c>
      <c r="I46" s="21">
        <v>701403.25</v>
      </c>
      <c r="J46" s="47"/>
      <c r="K46" s="48">
        <f t="shared" ref="K46:K56" si="8">((G46-L46)/L46)*100</f>
        <v>-34.026320157977501</v>
      </c>
      <c r="L46" s="23">
        <f>7274621.23/3</f>
        <v>2424873.7433333336</v>
      </c>
    </row>
    <row r="47" spans="2:14" x14ac:dyDescent="0.3">
      <c r="B47" s="42">
        <v>5</v>
      </c>
      <c r="C47" s="40" t="s">
        <v>22</v>
      </c>
      <c r="D47" s="26">
        <v>5622775.5199999996</v>
      </c>
      <c r="E47" s="26">
        <v>0</v>
      </c>
      <c r="F47" s="49">
        <f>+E47+D47</f>
        <v>5622775.5199999996</v>
      </c>
      <c r="G47" s="26">
        <f>+G46+F47</f>
        <v>7222553.959999999</v>
      </c>
      <c r="H47" s="50">
        <f t="shared" si="7"/>
        <v>49.144504633418961</v>
      </c>
      <c r="I47" s="26">
        <f>+I46+4141251.85</f>
        <v>4842655.0999999996</v>
      </c>
      <c r="J47" s="47"/>
      <c r="K47" s="50">
        <f t="shared" si="8"/>
        <v>-4.4859812394465441</v>
      </c>
      <c r="L47" s="26">
        <f>22685321.13/3</f>
        <v>7561773.71</v>
      </c>
    </row>
    <row r="48" spans="2:14" x14ac:dyDescent="0.3">
      <c r="B48" s="42">
        <v>6</v>
      </c>
      <c r="C48" s="40" t="s">
        <v>23</v>
      </c>
      <c r="D48" s="26">
        <v>8495852.0099999998</v>
      </c>
      <c r="E48" s="26">
        <v>0</v>
      </c>
      <c r="F48" s="49">
        <f>+E48+D48</f>
        <v>8495852.0099999998</v>
      </c>
      <c r="G48" s="26">
        <f t="shared" ref="G48" si="9">+G47+F48</f>
        <v>15718405.969999999</v>
      </c>
      <c r="H48" s="50">
        <f t="shared" si="7"/>
        <v>86.832983197341335</v>
      </c>
      <c r="I48" s="26">
        <f>+I47+3570423.63</f>
        <v>8413078.7300000004</v>
      </c>
      <c r="J48" s="47"/>
      <c r="K48" s="50">
        <f t="shared" si="8"/>
        <v>28.879260622691326</v>
      </c>
      <c r="L48" s="26">
        <v>12196226.060000001</v>
      </c>
    </row>
    <row r="49" spans="2:15" x14ac:dyDescent="0.3">
      <c r="B49" s="42">
        <v>7</v>
      </c>
      <c r="C49" s="40" t="s">
        <v>24</v>
      </c>
      <c r="D49" s="26">
        <v>3567588.05</v>
      </c>
      <c r="E49" s="26">
        <f>+Thompsons!E49+Flame!E49+'SA Sultana'!E49+'OR Sultana'!E49+Goldens!E49+Currants!E49+Other!E49</f>
        <v>4019845</v>
      </c>
      <c r="F49" s="49">
        <f t="shared" ref="F49:F68" si="10">+E49+D49</f>
        <v>7587433.0499999998</v>
      </c>
      <c r="G49" s="26">
        <f>+G48+F49</f>
        <v>23305839.02</v>
      </c>
      <c r="H49" s="50">
        <f t="shared" si="7"/>
        <v>58.473363365115738</v>
      </c>
      <c r="I49" s="26">
        <f>+I48+6293392.14</f>
        <v>14706470.870000001</v>
      </c>
      <c r="J49" s="47"/>
      <c r="K49" s="50">
        <f t="shared" si="8"/>
        <v>25.708658641412395</v>
      </c>
      <c r="L49" s="26">
        <v>18539565.43</v>
      </c>
      <c r="N49" s="39"/>
      <c r="O49" s="39"/>
    </row>
    <row r="50" spans="2:15" ht="17.399999999999999" customHeight="1" x14ac:dyDescent="0.3">
      <c r="B50" s="42">
        <v>8</v>
      </c>
      <c r="C50" s="40" t="s">
        <v>25</v>
      </c>
      <c r="D50" s="26">
        <v>6905423.6200000001</v>
      </c>
      <c r="E50" s="26">
        <v>0</v>
      </c>
      <c r="F50" s="49">
        <f t="shared" si="10"/>
        <v>6905423.6200000001</v>
      </c>
      <c r="G50" s="26">
        <f t="shared" ref="G50:G56" si="11">+G49+F50</f>
        <v>30211262.640000001</v>
      </c>
      <c r="H50" s="50">
        <f t="shared" si="7"/>
        <v>39.459672634192088</v>
      </c>
      <c r="I50" s="26">
        <v>21663081.57</v>
      </c>
      <c r="J50" s="47"/>
      <c r="K50" s="50">
        <f t="shared" si="8"/>
        <v>16.881059624887744</v>
      </c>
      <c r="L50" s="26">
        <v>25847868.539999999</v>
      </c>
    </row>
    <row r="51" spans="2:15" x14ac:dyDescent="0.3">
      <c r="B51" s="42">
        <v>9</v>
      </c>
      <c r="C51" s="40" t="s">
        <v>26</v>
      </c>
      <c r="D51" s="26">
        <v>5022336.0199999996</v>
      </c>
      <c r="E51" s="26">
        <v>3035</v>
      </c>
      <c r="F51" s="49">
        <f t="shared" si="10"/>
        <v>5025371.0199999996</v>
      </c>
      <c r="G51" s="26">
        <f t="shared" si="11"/>
        <v>35236633.659999996</v>
      </c>
      <c r="H51" s="50">
        <f t="shared" si="7"/>
        <v>20.997850975198109</v>
      </c>
      <c r="I51" s="26">
        <v>29121702.059999999</v>
      </c>
      <c r="J51" s="47"/>
      <c r="K51" s="50">
        <f t="shared" si="8"/>
        <v>3.7123794463932365</v>
      </c>
      <c r="L51" s="26">
        <f>101926020.35/3</f>
        <v>33975340.116666667</v>
      </c>
    </row>
    <row r="52" spans="2:15" x14ac:dyDescent="0.3">
      <c r="B52" s="42">
        <v>10</v>
      </c>
      <c r="C52" s="40" t="s">
        <v>67</v>
      </c>
      <c r="D52" s="26">
        <v>10905337.550000001</v>
      </c>
      <c r="E52" s="26">
        <v>0</v>
      </c>
      <c r="F52" s="49">
        <f t="shared" si="10"/>
        <v>10905337.550000001</v>
      </c>
      <c r="G52" s="26">
        <f t="shared" si="11"/>
        <v>46141971.209999993</v>
      </c>
      <c r="H52" s="50">
        <f t="shared" si="7"/>
        <v>15.711584308134452</v>
      </c>
      <c r="I52" s="26">
        <v>39876708.530000001</v>
      </c>
      <c r="J52" s="47"/>
      <c r="K52" s="50">
        <f t="shared" si="8"/>
        <v>7.5487662064830348</v>
      </c>
      <c r="L52" s="26">
        <v>42903301.299999997</v>
      </c>
    </row>
    <row r="53" spans="2:15" x14ac:dyDescent="0.3">
      <c r="B53" s="42">
        <v>11</v>
      </c>
      <c r="C53" s="40" t="s">
        <v>68</v>
      </c>
      <c r="D53" s="26">
        <v>9153994.5500000007</v>
      </c>
      <c r="E53" s="26">
        <v>0</v>
      </c>
      <c r="F53" s="49">
        <f t="shared" si="10"/>
        <v>9153994.5500000007</v>
      </c>
      <c r="G53" s="26">
        <f t="shared" si="11"/>
        <v>55295965.75999999</v>
      </c>
      <c r="H53" s="50">
        <f t="shared" si="7"/>
        <v>17.408955639174348</v>
      </c>
      <c r="I53" s="26">
        <f>+I52+7220180.68</f>
        <v>47096889.210000001</v>
      </c>
      <c r="J53" s="47"/>
      <c r="K53" s="50">
        <f t="shared" si="8"/>
        <v>11.974484057845695</v>
      </c>
      <c r="L53" s="26">
        <v>49382648.399999999</v>
      </c>
    </row>
    <row r="54" spans="2:15" x14ac:dyDescent="0.3">
      <c r="B54" s="42">
        <v>12</v>
      </c>
      <c r="C54" s="40" t="s">
        <v>83</v>
      </c>
      <c r="D54" s="26">
        <v>8901740.5800000001</v>
      </c>
      <c r="E54" s="26">
        <v>0</v>
      </c>
      <c r="F54" s="49">
        <f t="shared" si="10"/>
        <v>8901740.5800000001</v>
      </c>
      <c r="G54" s="26">
        <f t="shared" si="11"/>
        <v>64197706.339999989</v>
      </c>
      <c r="H54" s="50">
        <f t="shared" si="7"/>
        <v>18.8678711829279</v>
      </c>
      <c r="I54" s="26">
        <v>54007618.460000001</v>
      </c>
      <c r="J54" s="47"/>
      <c r="K54" s="50">
        <f t="shared" si="8"/>
        <v>18.611528529497527</v>
      </c>
      <c r="L54" s="26">
        <v>54124339.460000001</v>
      </c>
    </row>
    <row r="55" spans="2:15" x14ac:dyDescent="0.3">
      <c r="B55" s="42">
        <v>13</v>
      </c>
      <c r="C55" s="40" t="s">
        <v>69</v>
      </c>
      <c r="D55" s="26">
        <v>4645948.2699999996</v>
      </c>
      <c r="E55" s="26">
        <v>-12755</v>
      </c>
      <c r="F55" s="49">
        <f t="shared" si="10"/>
        <v>4633193.2699999996</v>
      </c>
      <c r="G55" s="26">
        <f t="shared" si="11"/>
        <v>68830899.609999985</v>
      </c>
      <c r="H55" s="50">
        <f t="shared" si="7"/>
        <v>16.464880635340108</v>
      </c>
      <c r="I55" s="26">
        <v>59100133.219999999</v>
      </c>
      <c r="J55" s="47"/>
      <c r="K55" s="50">
        <f t="shared" si="8"/>
        <v>19.323570675086618</v>
      </c>
      <c r="L55" s="26">
        <v>57684243.960000001</v>
      </c>
    </row>
    <row r="56" spans="2:15" x14ac:dyDescent="0.3">
      <c r="B56" s="42">
        <v>14</v>
      </c>
      <c r="C56" s="86" t="s">
        <v>70</v>
      </c>
      <c r="D56" s="26">
        <v>1361758.54</v>
      </c>
      <c r="E56" s="26">
        <v>0</v>
      </c>
      <c r="F56" s="49">
        <f t="shared" si="10"/>
        <v>1361758.54</v>
      </c>
      <c r="G56" s="52">
        <f t="shared" si="11"/>
        <v>70192658.149999991</v>
      </c>
      <c r="H56" s="50">
        <f t="shared" si="7"/>
        <v>7.4897162013620262</v>
      </c>
      <c r="I56" s="26">
        <f>+I55+6201609.71</f>
        <v>65301742.93</v>
      </c>
      <c r="J56" s="47"/>
      <c r="K56" s="50">
        <f t="shared" si="8"/>
        <v>16.28959552547941</v>
      </c>
      <c r="L56" s="26">
        <v>60360222.109999999</v>
      </c>
    </row>
    <row r="57" spans="2:15" hidden="1" x14ac:dyDescent="0.3">
      <c r="B57" s="11">
        <v>15</v>
      </c>
      <c r="C57" s="17" t="s">
        <v>27</v>
      </c>
      <c r="D57" s="26"/>
      <c r="E57" s="26"/>
      <c r="F57" s="49">
        <f t="shared" si="10"/>
        <v>0</v>
      </c>
      <c r="G57" s="26">
        <f t="shared" ref="G57:G68" si="12">+G56+F57</f>
        <v>70192658.149999991</v>
      </c>
      <c r="H57" s="50" t="e">
        <f t="shared" si="7"/>
        <v>#DIV/0!</v>
      </c>
      <c r="I57" s="26">
        <v>0</v>
      </c>
      <c r="J57" s="47"/>
      <c r="K57" s="50">
        <v>0</v>
      </c>
      <c r="L57" s="26">
        <v>0</v>
      </c>
    </row>
    <row r="58" spans="2:15" hidden="1" x14ac:dyDescent="0.3">
      <c r="B58" s="11">
        <v>16</v>
      </c>
      <c r="C58" s="17" t="s">
        <v>28</v>
      </c>
      <c r="D58" s="26"/>
      <c r="E58" s="26"/>
      <c r="F58" s="49">
        <f t="shared" si="10"/>
        <v>0</v>
      </c>
      <c r="G58" s="26">
        <f t="shared" si="12"/>
        <v>70192658.149999991</v>
      </c>
      <c r="H58" s="50" t="e">
        <f t="shared" si="7"/>
        <v>#DIV/0!</v>
      </c>
      <c r="I58" s="26">
        <v>0</v>
      </c>
      <c r="J58" s="47"/>
      <c r="K58" s="50">
        <v>0</v>
      </c>
      <c r="L58" s="26">
        <v>0</v>
      </c>
    </row>
    <row r="59" spans="2:15" hidden="1" x14ac:dyDescent="0.3">
      <c r="B59" s="11">
        <v>17</v>
      </c>
      <c r="C59" s="17" t="s">
        <v>29</v>
      </c>
      <c r="D59" s="26"/>
      <c r="E59" s="26"/>
      <c r="F59" s="49">
        <f t="shared" si="10"/>
        <v>0</v>
      </c>
      <c r="G59" s="26">
        <f t="shared" si="12"/>
        <v>70192658.149999991</v>
      </c>
      <c r="H59" s="50" t="e">
        <f t="shared" si="7"/>
        <v>#DIV/0!</v>
      </c>
      <c r="I59" s="26">
        <v>0</v>
      </c>
      <c r="J59" s="47"/>
      <c r="K59" s="50">
        <v>0</v>
      </c>
      <c r="L59" s="26">
        <v>0</v>
      </c>
    </row>
    <row r="60" spans="2:15" hidden="1" x14ac:dyDescent="0.3">
      <c r="B60" s="11">
        <v>18</v>
      </c>
      <c r="C60" s="17" t="s">
        <v>30</v>
      </c>
      <c r="D60" s="26"/>
      <c r="E60" s="26"/>
      <c r="F60" s="49">
        <f t="shared" si="10"/>
        <v>0</v>
      </c>
      <c r="G60" s="26">
        <f t="shared" si="12"/>
        <v>70192658.149999991</v>
      </c>
      <c r="H60" s="50" t="e">
        <f t="shared" si="7"/>
        <v>#DIV/0!</v>
      </c>
      <c r="I60" s="26">
        <v>0</v>
      </c>
      <c r="J60" s="47"/>
      <c r="K60" s="50">
        <v>0</v>
      </c>
      <c r="L60" s="26">
        <v>0</v>
      </c>
    </row>
    <row r="61" spans="2:15" hidden="1" x14ac:dyDescent="0.3">
      <c r="B61" s="11">
        <v>19</v>
      </c>
      <c r="C61" s="17" t="s">
        <v>31</v>
      </c>
      <c r="D61" s="26"/>
      <c r="E61" s="26"/>
      <c r="F61" s="49">
        <f t="shared" si="10"/>
        <v>0</v>
      </c>
      <c r="G61" s="26">
        <f t="shared" si="12"/>
        <v>70192658.149999991</v>
      </c>
      <c r="H61" s="50" t="e">
        <f t="shared" si="7"/>
        <v>#DIV/0!</v>
      </c>
      <c r="I61" s="26">
        <v>0</v>
      </c>
      <c r="J61" s="47"/>
      <c r="K61" s="50">
        <v>0</v>
      </c>
      <c r="L61" s="26">
        <v>0</v>
      </c>
    </row>
    <row r="62" spans="2:15" hidden="1" x14ac:dyDescent="0.3">
      <c r="B62" s="11">
        <v>20</v>
      </c>
      <c r="C62" s="17" t="s">
        <v>32</v>
      </c>
      <c r="D62" s="26"/>
      <c r="E62" s="26"/>
      <c r="F62" s="49">
        <f t="shared" si="10"/>
        <v>0</v>
      </c>
      <c r="G62" s="26">
        <f t="shared" si="12"/>
        <v>70192658.149999991</v>
      </c>
      <c r="H62" s="50" t="e">
        <f t="shared" si="7"/>
        <v>#DIV/0!</v>
      </c>
      <c r="I62" s="26">
        <v>0</v>
      </c>
      <c r="J62" s="47"/>
      <c r="K62" s="50">
        <v>0</v>
      </c>
      <c r="L62" s="26">
        <v>0</v>
      </c>
    </row>
    <row r="63" spans="2:15" hidden="1" x14ac:dyDescent="0.3">
      <c r="B63" s="11">
        <v>21</v>
      </c>
      <c r="C63" s="17" t="s">
        <v>33</v>
      </c>
      <c r="D63" s="26"/>
      <c r="E63" s="26"/>
      <c r="F63" s="49">
        <f t="shared" si="10"/>
        <v>0</v>
      </c>
      <c r="G63" s="26">
        <f t="shared" si="12"/>
        <v>70192658.149999991</v>
      </c>
      <c r="H63" s="50" t="e">
        <f t="shared" si="7"/>
        <v>#DIV/0!</v>
      </c>
      <c r="I63" s="26">
        <v>0</v>
      </c>
      <c r="J63" s="47"/>
      <c r="K63" s="50">
        <v>0</v>
      </c>
      <c r="L63" s="26">
        <v>0</v>
      </c>
    </row>
    <row r="64" spans="2:15" hidden="1" x14ac:dyDescent="0.3">
      <c r="B64" s="11">
        <v>22</v>
      </c>
      <c r="C64" s="17" t="s">
        <v>34</v>
      </c>
      <c r="D64" s="26"/>
      <c r="E64" s="26"/>
      <c r="F64" s="49">
        <f t="shared" si="10"/>
        <v>0</v>
      </c>
      <c r="G64" s="26">
        <f t="shared" si="12"/>
        <v>70192658.149999991</v>
      </c>
      <c r="H64" s="50" t="e">
        <f t="shared" si="7"/>
        <v>#DIV/0!</v>
      </c>
      <c r="I64" s="26">
        <v>0</v>
      </c>
      <c r="J64" s="47"/>
      <c r="K64" s="50">
        <v>0</v>
      </c>
      <c r="L64" s="26">
        <v>0</v>
      </c>
    </row>
    <row r="65" spans="2:12" hidden="1" x14ac:dyDescent="0.3">
      <c r="B65" s="11">
        <v>23</v>
      </c>
      <c r="C65" s="17" t="s">
        <v>35</v>
      </c>
      <c r="D65" s="26"/>
      <c r="E65" s="26"/>
      <c r="F65" s="49">
        <f t="shared" si="10"/>
        <v>0</v>
      </c>
      <c r="G65" s="26">
        <f t="shared" si="12"/>
        <v>70192658.149999991</v>
      </c>
      <c r="H65" s="50" t="e">
        <f t="shared" si="7"/>
        <v>#DIV/0!</v>
      </c>
      <c r="I65" s="26">
        <v>0</v>
      </c>
      <c r="J65" s="47"/>
      <c r="K65" s="50">
        <v>0</v>
      </c>
      <c r="L65" s="26">
        <v>0</v>
      </c>
    </row>
    <row r="66" spans="2:12" hidden="1" x14ac:dyDescent="0.3">
      <c r="B66" s="11">
        <v>24</v>
      </c>
      <c r="C66" s="17" t="s">
        <v>36</v>
      </c>
      <c r="D66" s="26"/>
      <c r="E66" s="26"/>
      <c r="F66" s="49">
        <f t="shared" si="10"/>
        <v>0</v>
      </c>
      <c r="G66" s="26">
        <f t="shared" si="12"/>
        <v>70192658.149999991</v>
      </c>
      <c r="H66" s="50" t="e">
        <f t="shared" si="7"/>
        <v>#DIV/0!</v>
      </c>
      <c r="I66" s="26">
        <v>0</v>
      </c>
      <c r="J66" s="47"/>
      <c r="K66" s="50">
        <v>0</v>
      </c>
      <c r="L66" s="26">
        <v>0</v>
      </c>
    </row>
    <row r="67" spans="2:12" hidden="1" x14ac:dyDescent="0.3">
      <c r="B67" s="11">
        <v>25</v>
      </c>
      <c r="C67" s="18" t="s">
        <v>37</v>
      </c>
      <c r="D67" s="26"/>
      <c r="E67" s="26"/>
      <c r="F67" s="49">
        <f t="shared" si="10"/>
        <v>0</v>
      </c>
      <c r="G67" s="26">
        <f t="shared" si="12"/>
        <v>70192658.149999991</v>
      </c>
      <c r="H67" s="50" t="e">
        <f t="shared" si="7"/>
        <v>#DIV/0!</v>
      </c>
      <c r="I67" s="26">
        <v>0</v>
      </c>
      <c r="J67" s="47"/>
      <c r="K67" s="50">
        <v>0</v>
      </c>
      <c r="L67" s="26">
        <v>0</v>
      </c>
    </row>
    <row r="68" spans="2:12" hidden="1" x14ac:dyDescent="0.3">
      <c r="B68" s="28">
        <v>26</v>
      </c>
      <c r="C68" s="29" t="s">
        <v>38</v>
      </c>
      <c r="D68" s="33"/>
      <c r="E68" s="33"/>
      <c r="F68" s="66">
        <f t="shared" si="10"/>
        <v>0</v>
      </c>
      <c r="G68" s="33">
        <f t="shared" si="12"/>
        <v>70192658.149999991</v>
      </c>
      <c r="H68" s="50" t="e">
        <f t="shared" si="7"/>
        <v>#DIV/0!</v>
      </c>
      <c r="I68" s="33">
        <v>0</v>
      </c>
      <c r="J68" s="47"/>
      <c r="K68" s="50">
        <v>0</v>
      </c>
      <c r="L68" s="26">
        <v>0</v>
      </c>
    </row>
    <row r="69" spans="2:12" x14ac:dyDescent="0.3">
      <c r="B69" s="5"/>
      <c r="C69" s="5"/>
      <c r="D69" s="6"/>
      <c r="E69" s="6"/>
      <c r="F69" s="6"/>
      <c r="G69" s="6"/>
      <c r="H69" s="6"/>
      <c r="I69" s="6"/>
      <c r="J69" s="6"/>
    </row>
    <row r="70" spans="2:12" x14ac:dyDescent="0.3">
      <c r="B70" s="8" t="s">
        <v>39</v>
      </c>
      <c r="C70" s="5"/>
      <c r="D70" s="6"/>
      <c r="E70" s="6"/>
      <c r="F70" s="6"/>
      <c r="G70" s="6"/>
      <c r="H70" s="6"/>
      <c r="I70" s="6"/>
      <c r="J70" s="6"/>
    </row>
    <row r="71" spans="2:12" x14ac:dyDescent="0.3">
      <c r="B71" s="9" t="s">
        <v>40</v>
      </c>
      <c r="C71" s="5"/>
      <c r="D71" s="6"/>
      <c r="E71" s="6"/>
      <c r="F71" s="6"/>
      <c r="G71" s="6"/>
      <c r="H71" s="6"/>
      <c r="I71" s="6"/>
      <c r="J71" s="6"/>
    </row>
    <row r="72" spans="2:12" x14ac:dyDescent="0.3">
      <c r="B72" s="9" t="s">
        <v>41</v>
      </c>
      <c r="C72" s="5"/>
      <c r="D72" s="6"/>
      <c r="E72" s="6"/>
      <c r="F72" s="6"/>
      <c r="G72" s="6"/>
      <c r="H72" s="6"/>
      <c r="I72" s="6"/>
      <c r="J72" s="6"/>
    </row>
    <row r="73" spans="2:12" x14ac:dyDescent="0.3">
      <c r="B73" s="9" t="s">
        <v>42</v>
      </c>
      <c r="C73" s="5"/>
      <c r="D73" s="6"/>
      <c r="E73" s="6"/>
      <c r="F73" s="6"/>
      <c r="G73" s="6"/>
      <c r="H73" s="6"/>
      <c r="I73" s="6"/>
      <c r="J73" s="6"/>
    </row>
    <row r="74" spans="2:12" x14ac:dyDescent="0.3">
      <c r="B74" s="10"/>
      <c r="C74" s="10"/>
      <c r="D74" s="44"/>
      <c r="E74" s="44"/>
      <c r="F74" s="44"/>
      <c r="G74" s="44"/>
      <c r="H74" s="44"/>
      <c r="I74" s="44"/>
      <c r="J74" s="44"/>
    </row>
    <row r="75" spans="2:12" x14ac:dyDescent="0.3">
      <c r="B75" s="10"/>
      <c r="C75" s="10"/>
      <c r="D75" s="44"/>
      <c r="E75" s="44"/>
      <c r="F75" s="44"/>
      <c r="G75" s="44"/>
      <c r="H75" s="44"/>
      <c r="I75" s="44"/>
      <c r="J75" s="44"/>
    </row>
    <row r="76" spans="2:12" ht="18" x14ac:dyDescent="0.35">
      <c r="B76" s="10"/>
      <c r="C76" s="10"/>
      <c r="D76" s="140" t="s">
        <v>45</v>
      </c>
      <c r="E76" s="140"/>
      <c r="F76" s="140"/>
      <c r="G76" s="140"/>
      <c r="H76" s="140"/>
      <c r="I76" s="140"/>
      <c r="J76" s="44"/>
    </row>
    <row r="77" spans="2:12" s="37" customFormat="1" ht="21" x14ac:dyDescent="0.4">
      <c r="B77" s="27"/>
      <c r="C77" s="27"/>
      <c r="D77" s="141" t="s">
        <v>44</v>
      </c>
      <c r="E77" s="141"/>
      <c r="F77" s="141"/>
      <c r="G77" s="141"/>
      <c r="H77" s="141"/>
      <c r="I77" s="141"/>
      <c r="J77" s="63"/>
      <c r="K77" s="68"/>
      <c r="L77" s="68"/>
    </row>
    <row r="78" spans="2:12" ht="15.9" customHeight="1" x14ac:dyDescent="0.3">
      <c r="B78" s="128" t="s">
        <v>84</v>
      </c>
      <c r="C78" s="128"/>
      <c r="D78" s="128"/>
      <c r="E78" s="128"/>
      <c r="F78" s="128"/>
      <c r="G78" s="128"/>
      <c r="H78" s="128"/>
      <c r="I78" s="128"/>
      <c r="J78" s="128"/>
      <c r="K78" s="128"/>
      <c r="L78" s="128"/>
    </row>
    <row r="79" spans="2:12" ht="14.4" customHeight="1" x14ac:dyDescent="0.3">
      <c r="B79" s="15"/>
      <c r="C79" s="16"/>
      <c r="D79" s="118" t="s">
        <v>6</v>
      </c>
      <c r="E79" s="119"/>
      <c r="F79" s="119"/>
      <c r="G79" s="120"/>
      <c r="H79" s="121" t="s">
        <v>7</v>
      </c>
      <c r="I79" s="122"/>
      <c r="J79" s="64"/>
      <c r="K79" s="121" t="s">
        <v>8</v>
      </c>
      <c r="L79" s="122"/>
    </row>
    <row r="80" spans="2:12" ht="14.4" customHeight="1" x14ac:dyDescent="0.3">
      <c r="B80" s="13"/>
      <c r="C80" s="14"/>
      <c r="D80" s="125" t="s">
        <v>9</v>
      </c>
      <c r="E80" s="126"/>
      <c r="F80" s="126"/>
      <c r="G80" s="127"/>
      <c r="H80" s="123"/>
      <c r="I80" s="124"/>
      <c r="J80" s="64"/>
      <c r="K80" s="123"/>
      <c r="L80" s="124"/>
    </row>
    <row r="81" spans="2:14" ht="14.4" customHeight="1" x14ac:dyDescent="0.3">
      <c r="B81" s="132" t="s">
        <v>10</v>
      </c>
      <c r="C81" s="134" t="s">
        <v>11</v>
      </c>
      <c r="D81" s="62" t="s">
        <v>12</v>
      </c>
      <c r="E81" s="62" t="s">
        <v>13</v>
      </c>
      <c r="F81" s="62" t="s">
        <v>14</v>
      </c>
      <c r="G81" s="62" t="s">
        <v>15</v>
      </c>
      <c r="H81" s="136" t="s">
        <v>16</v>
      </c>
      <c r="I81" s="138" t="s">
        <v>17</v>
      </c>
      <c r="J81" s="65"/>
      <c r="K81" s="136" t="s">
        <v>18</v>
      </c>
      <c r="L81" s="138" t="s">
        <v>19</v>
      </c>
    </row>
    <row r="82" spans="2:14" ht="39.6" customHeight="1" x14ac:dyDescent="0.3">
      <c r="B82" s="133"/>
      <c r="C82" s="135"/>
      <c r="D82" s="129" t="s">
        <v>20</v>
      </c>
      <c r="E82" s="130"/>
      <c r="F82" s="130"/>
      <c r="G82" s="131"/>
      <c r="H82" s="137"/>
      <c r="I82" s="139"/>
      <c r="J82" s="65"/>
      <c r="K82" s="137"/>
      <c r="L82" s="139"/>
    </row>
    <row r="83" spans="2:14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>
        <v>0</v>
      </c>
      <c r="I83" s="21">
        <v>0</v>
      </c>
      <c r="J83" s="47"/>
      <c r="K83" s="48">
        <f t="shared" ref="K83:K93" si="13">((G83-L83)/L83)*100</f>
        <v>-100</v>
      </c>
      <c r="L83" s="23">
        <f>685181.51/3</f>
        <v>228393.83666666667</v>
      </c>
    </row>
    <row r="84" spans="2:14" x14ac:dyDescent="0.3">
      <c r="B84" s="42">
        <v>5</v>
      </c>
      <c r="C84" s="40" t="s">
        <v>22</v>
      </c>
      <c r="D84" s="26">
        <v>596772.69999999995</v>
      </c>
      <c r="E84" s="26">
        <v>0</v>
      </c>
      <c r="F84" s="49">
        <f>+E84+D84</f>
        <v>596772.69999999995</v>
      </c>
      <c r="G84" s="26">
        <f>+G83+F84</f>
        <v>596772.69999999995</v>
      </c>
      <c r="H84" s="50">
        <f t="shared" ref="H84:H93" si="14">((G84-I84)/I84)*100</f>
        <v>65.242254621055423</v>
      </c>
      <c r="I84" s="26">
        <v>361150.18</v>
      </c>
      <c r="J84" s="47"/>
      <c r="K84" s="50">
        <f t="shared" si="13"/>
        <v>-31.549397839415278</v>
      </c>
      <c r="L84" s="26">
        <f>2615489.19/3</f>
        <v>871829.73</v>
      </c>
    </row>
    <row r="85" spans="2:14" x14ac:dyDescent="0.3">
      <c r="B85" s="42">
        <v>6</v>
      </c>
      <c r="C85" s="40" t="s">
        <v>23</v>
      </c>
      <c r="D85" s="26">
        <v>827033.16</v>
      </c>
      <c r="E85" s="26">
        <v>0</v>
      </c>
      <c r="F85" s="49">
        <f>+E85+D85</f>
        <v>827033.16</v>
      </c>
      <c r="G85" s="26">
        <f t="shared" ref="G85" si="15">+G84+F85</f>
        <v>1423805.8599999999</v>
      </c>
      <c r="H85" s="50">
        <f t="shared" si="14"/>
        <v>24.524711214144862</v>
      </c>
      <c r="I85" s="26">
        <f>+I84+782242.04</f>
        <v>1143392.22</v>
      </c>
      <c r="J85" s="47"/>
      <c r="K85" s="50">
        <f t="shared" si="13"/>
        <v>-12.073941291159628</v>
      </c>
      <c r="L85" s="26">
        <f>4857965.48/3</f>
        <v>1619321.8266666669</v>
      </c>
    </row>
    <row r="86" spans="2:14" x14ac:dyDescent="0.3">
      <c r="B86" s="42">
        <v>7</v>
      </c>
      <c r="C86" s="40" t="s">
        <v>24</v>
      </c>
      <c r="D86" s="26">
        <v>573656.71</v>
      </c>
      <c r="E86" s="26">
        <f>+Thompsons!E86+Flame!E86+'SA Sultana'!E86+'OR Sultana'!E86+Goldens!E86+Currants!E86+Other!E86</f>
        <v>841299</v>
      </c>
      <c r="F86" s="49">
        <f t="shared" ref="F86:F105" si="16">+E86+D86</f>
        <v>1414955.71</v>
      </c>
      <c r="G86" s="26">
        <f>+G85+F86</f>
        <v>2838761.57</v>
      </c>
      <c r="H86" s="50">
        <f t="shared" si="14"/>
        <v>41.957435106063876</v>
      </c>
      <c r="I86" s="26">
        <f>+I85+856335.07</f>
        <v>1999727.29</v>
      </c>
      <c r="J86" s="47"/>
      <c r="K86" s="50">
        <f t="shared" si="13"/>
        <v>6.236940955614438</v>
      </c>
      <c r="L86" s="26">
        <f>8016312.06/3</f>
        <v>2672104.02</v>
      </c>
      <c r="N86" s="41"/>
    </row>
    <row r="87" spans="2:14" x14ac:dyDescent="0.3">
      <c r="B87" s="42">
        <v>8</v>
      </c>
      <c r="C87" s="40" t="s">
        <v>25</v>
      </c>
      <c r="D87" s="26">
        <v>1177667.52</v>
      </c>
      <c r="E87" s="26">
        <v>0</v>
      </c>
      <c r="F87" s="49">
        <f t="shared" si="16"/>
        <v>1177667.52</v>
      </c>
      <c r="G87" s="26">
        <f t="shared" ref="G87:G93" si="17">+G86+F87</f>
        <v>4016429.09</v>
      </c>
      <c r="H87" s="50">
        <f t="shared" si="14"/>
        <v>6.9478655325499741</v>
      </c>
      <c r="I87" s="26">
        <v>3755501.87</v>
      </c>
      <c r="J87" s="47"/>
      <c r="K87" s="50">
        <f t="shared" si="13"/>
        <v>2.4628347165498843</v>
      </c>
      <c r="L87" s="26">
        <f>11759666.13/3</f>
        <v>3919888.7100000004</v>
      </c>
    </row>
    <row r="88" spans="2:14" x14ac:dyDescent="0.3">
      <c r="B88" s="42">
        <v>9</v>
      </c>
      <c r="C88" s="40" t="s">
        <v>26</v>
      </c>
      <c r="D88" s="26">
        <v>1339953.24</v>
      </c>
      <c r="E88" s="26">
        <v>-3035</v>
      </c>
      <c r="F88" s="49">
        <f t="shared" si="16"/>
        <v>1336918.24</v>
      </c>
      <c r="G88" s="26">
        <f t="shared" si="17"/>
        <v>5353347.33</v>
      </c>
      <c r="H88" s="50">
        <f t="shared" si="14"/>
        <v>11.279724559039513</v>
      </c>
      <c r="I88" s="26">
        <v>4810712.24</v>
      </c>
      <c r="J88" s="47"/>
      <c r="K88" s="50">
        <f t="shared" si="13"/>
        <v>-1.1809340370922417</v>
      </c>
      <c r="L88" s="26">
        <f>16251967/3</f>
        <v>5417322.333333333</v>
      </c>
    </row>
    <row r="89" spans="2:14" x14ac:dyDescent="0.3">
      <c r="B89" s="42">
        <v>10</v>
      </c>
      <c r="C89" s="40" t="s">
        <v>67</v>
      </c>
      <c r="D89" s="26">
        <v>2024695.08</v>
      </c>
      <c r="E89" s="26">
        <v>0</v>
      </c>
      <c r="F89" s="49">
        <f t="shared" si="16"/>
        <v>2024695.08</v>
      </c>
      <c r="G89" s="26">
        <f t="shared" si="17"/>
        <v>7378042.4100000001</v>
      </c>
      <c r="H89" s="50">
        <f t="shared" si="14"/>
        <v>9.6182481319378006</v>
      </c>
      <c r="I89" s="26">
        <v>6730669.8799999999</v>
      </c>
      <c r="J89" s="47"/>
      <c r="K89" s="50">
        <f t="shared" si="13"/>
        <v>3.9999096680414583</v>
      </c>
      <c r="L89" s="26">
        <v>7094277.71</v>
      </c>
    </row>
    <row r="90" spans="2:14" x14ac:dyDescent="0.3">
      <c r="B90" s="42">
        <v>11</v>
      </c>
      <c r="C90" s="40" t="s">
        <v>68</v>
      </c>
      <c r="D90" s="26">
        <v>2284043.61</v>
      </c>
      <c r="E90" s="26">
        <v>0</v>
      </c>
      <c r="F90" s="49">
        <f t="shared" si="16"/>
        <v>2284043.61</v>
      </c>
      <c r="G90" s="26">
        <f t="shared" si="17"/>
        <v>9662086.0199999996</v>
      </c>
      <c r="H90" s="50">
        <f t="shared" si="14"/>
        <v>10.06428310902513</v>
      </c>
      <c r="I90" s="26">
        <f>+I89+2047914.55</f>
        <v>8778584.4299999997</v>
      </c>
      <c r="J90" s="47"/>
      <c r="K90" s="50">
        <f t="shared" si="13"/>
        <v>11.082516387255763</v>
      </c>
      <c r="L90" s="26">
        <v>8698115.9000000004</v>
      </c>
    </row>
    <row r="91" spans="2:14" x14ac:dyDescent="0.3">
      <c r="B91" s="42">
        <v>12</v>
      </c>
      <c r="C91" s="40" t="s">
        <v>83</v>
      </c>
      <c r="D91" s="26">
        <v>2531578.66</v>
      </c>
      <c r="E91" s="26">
        <v>0</v>
      </c>
      <c r="F91" s="49">
        <f t="shared" si="16"/>
        <v>2531578.66</v>
      </c>
      <c r="G91" s="26">
        <f t="shared" si="17"/>
        <v>12193664.68</v>
      </c>
      <c r="H91" s="50">
        <f t="shared" si="14"/>
        <v>12.263991714435464</v>
      </c>
      <c r="I91" s="26">
        <v>10861599.07</v>
      </c>
      <c r="J91" s="47"/>
      <c r="K91" s="50">
        <f t="shared" si="13"/>
        <v>20.52846715842751</v>
      </c>
      <c r="L91" s="26">
        <v>10116833.779999999</v>
      </c>
    </row>
    <row r="92" spans="2:14" x14ac:dyDescent="0.3">
      <c r="B92" s="42">
        <v>13</v>
      </c>
      <c r="C92" s="40" t="s">
        <v>69</v>
      </c>
      <c r="D92" s="26">
        <v>2051047.19</v>
      </c>
      <c r="E92" s="26">
        <v>12755</v>
      </c>
      <c r="F92" s="49">
        <f t="shared" si="16"/>
        <v>2063802.19</v>
      </c>
      <c r="G92" s="26">
        <f t="shared" si="17"/>
        <v>14257466.869999999</v>
      </c>
      <c r="H92" s="50">
        <f t="shared" si="14"/>
        <v>18.91649068847892</v>
      </c>
      <c r="I92" s="26">
        <v>11989478.32</v>
      </c>
      <c r="J92" s="47"/>
      <c r="K92" s="50">
        <f t="shared" si="13"/>
        <v>30.931597835279788</v>
      </c>
      <c r="L92" s="26">
        <v>10889248.359999999</v>
      </c>
    </row>
    <row r="93" spans="2:14" x14ac:dyDescent="0.3">
      <c r="B93" s="42">
        <v>14</v>
      </c>
      <c r="C93" s="86" t="s">
        <v>70</v>
      </c>
      <c r="D93" s="26">
        <v>419819.56</v>
      </c>
      <c r="E93" s="26">
        <v>0</v>
      </c>
      <c r="F93" s="49">
        <f t="shared" si="16"/>
        <v>419819.56</v>
      </c>
      <c r="G93" s="53">
        <f t="shared" si="17"/>
        <v>14677286.43</v>
      </c>
      <c r="H93" s="50">
        <f t="shared" si="14"/>
        <v>15.699849065054785</v>
      </c>
      <c r="I93" s="26">
        <f>+I92+696179.05</f>
        <v>12685657.370000001</v>
      </c>
      <c r="J93" s="47"/>
      <c r="K93" s="50">
        <f t="shared" si="13"/>
        <v>27.53003342101858</v>
      </c>
      <c r="L93" s="26">
        <v>11508886.210000001</v>
      </c>
    </row>
    <row r="94" spans="2:14" hidden="1" x14ac:dyDescent="0.3">
      <c r="B94" s="11">
        <v>15</v>
      </c>
      <c r="C94" s="17" t="s">
        <v>27</v>
      </c>
      <c r="D94" s="26"/>
      <c r="E94" s="26"/>
      <c r="F94" s="49">
        <f t="shared" si="16"/>
        <v>0</v>
      </c>
      <c r="G94" s="26">
        <f t="shared" ref="G94:G105" si="18">+G93+F94</f>
        <v>14677286.43</v>
      </c>
      <c r="H94" s="50">
        <v>0</v>
      </c>
      <c r="I94" s="26">
        <v>0</v>
      </c>
      <c r="J94" s="47"/>
      <c r="K94" s="50">
        <v>0</v>
      </c>
      <c r="L94" s="26">
        <v>0</v>
      </c>
    </row>
    <row r="95" spans="2:14" hidden="1" x14ac:dyDescent="0.3">
      <c r="B95" s="11">
        <v>16</v>
      </c>
      <c r="C95" s="17" t="s">
        <v>28</v>
      </c>
      <c r="D95" s="26"/>
      <c r="E95" s="26"/>
      <c r="F95" s="49">
        <f t="shared" si="16"/>
        <v>0</v>
      </c>
      <c r="G95" s="26">
        <f t="shared" si="18"/>
        <v>14677286.43</v>
      </c>
      <c r="H95" s="50">
        <v>0</v>
      </c>
      <c r="I95" s="26">
        <v>0</v>
      </c>
      <c r="J95" s="47"/>
      <c r="K95" s="50">
        <v>0</v>
      </c>
      <c r="L95" s="26">
        <v>0</v>
      </c>
    </row>
    <row r="96" spans="2:14" hidden="1" x14ac:dyDescent="0.3">
      <c r="B96" s="11">
        <v>17</v>
      </c>
      <c r="C96" s="17" t="s">
        <v>29</v>
      </c>
      <c r="D96" s="26"/>
      <c r="E96" s="26"/>
      <c r="F96" s="49">
        <f t="shared" si="16"/>
        <v>0</v>
      </c>
      <c r="G96" s="26">
        <f t="shared" si="18"/>
        <v>14677286.43</v>
      </c>
      <c r="H96" s="50">
        <v>0</v>
      </c>
      <c r="I96" s="26">
        <v>0</v>
      </c>
      <c r="J96" s="47"/>
      <c r="K96" s="50">
        <v>0</v>
      </c>
      <c r="L96" s="26">
        <v>0</v>
      </c>
    </row>
    <row r="97" spans="2:12" hidden="1" x14ac:dyDescent="0.3">
      <c r="B97" s="11">
        <v>18</v>
      </c>
      <c r="C97" s="17" t="s">
        <v>30</v>
      </c>
      <c r="D97" s="26"/>
      <c r="E97" s="26"/>
      <c r="F97" s="49">
        <f t="shared" si="16"/>
        <v>0</v>
      </c>
      <c r="G97" s="26">
        <f t="shared" si="18"/>
        <v>14677286.43</v>
      </c>
      <c r="H97" s="50">
        <v>0</v>
      </c>
      <c r="I97" s="26">
        <v>0</v>
      </c>
      <c r="J97" s="47"/>
      <c r="K97" s="50">
        <v>0</v>
      </c>
      <c r="L97" s="26">
        <v>0</v>
      </c>
    </row>
    <row r="98" spans="2:12" hidden="1" x14ac:dyDescent="0.3">
      <c r="B98" s="11">
        <v>19</v>
      </c>
      <c r="C98" s="17" t="s">
        <v>31</v>
      </c>
      <c r="D98" s="26"/>
      <c r="E98" s="26"/>
      <c r="F98" s="49">
        <f t="shared" si="16"/>
        <v>0</v>
      </c>
      <c r="G98" s="26">
        <f t="shared" si="18"/>
        <v>14677286.43</v>
      </c>
      <c r="H98" s="50">
        <v>0</v>
      </c>
      <c r="I98" s="26">
        <v>0</v>
      </c>
      <c r="J98" s="47"/>
      <c r="K98" s="50">
        <v>0</v>
      </c>
      <c r="L98" s="26">
        <v>0</v>
      </c>
    </row>
    <row r="99" spans="2:12" hidden="1" x14ac:dyDescent="0.3">
      <c r="B99" s="11">
        <v>20</v>
      </c>
      <c r="C99" s="17" t="s">
        <v>32</v>
      </c>
      <c r="D99" s="26"/>
      <c r="E99" s="26"/>
      <c r="F99" s="49">
        <f t="shared" si="16"/>
        <v>0</v>
      </c>
      <c r="G99" s="26">
        <f t="shared" si="18"/>
        <v>14677286.43</v>
      </c>
      <c r="H99" s="50">
        <v>0</v>
      </c>
      <c r="I99" s="26">
        <v>0</v>
      </c>
      <c r="J99" s="47"/>
      <c r="K99" s="50">
        <v>0</v>
      </c>
      <c r="L99" s="26">
        <v>0</v>
      </c>
    </row>
    <row r="100" spans="2:12" hidden="1" x14ac:dyDescent="0.3">
      <c r="B100" s="11">
        <v>21</v>
      </c>
      <c r="C100" s="17" t="s">
        <v>33</v>
      </c>
      <c r="D100" s="26"/>
      <c r="E100" s="26"/>
      <c r="F100" s="49">
        <f t="shared" si="16"/>
        <v>0</v>
      </c>
      <c r="G100" s="26">
        <f t="shared" si="18"/>
        <v>14677286.43</v>
      </c>
      <c r="H100" s="50">
        <v>0</v>
      </c>
      <c r="I100" s="26">
        <v>0</v>
      </c>
      <c r="J100" s="47"/>
      <c r="K100" s="50">
        <v>0</v>
      </c>
      <c r="L100" s="26">
        <v>0</v>
      </c>
    </row>
    <row r="101" spans="2:12" hidden="1" x14ac:dyDescent="0.3">
      <c r="B101" s="11">
        <v>22</v>
      </c>
      <c r="C101" s="17" t="s">
        <v>34</v>
      </c>
      <c r="D101" s="26"/>
      <c r="E101" s="26"/>
      <c r="F101" s="49">
        <f t="shared" si="16"/>
        <v>0</v>
      </c>
      <c r="G101" s="26">
        <f t="shared" si="18"/>
        <v>14677286.43</v>
      </c>
      <c r="H101" s="50">
        <v>0</v>
      </c>
      <c r="I101" s="26">
        <v>0</v>
      </c>
      <c r="J101" s="47"/>
      <c r="K101" s="50">
        <v>0</v>
      </c>
      <c r="L101" s="26">
        <v>0</v>
      </c>
    </row>
    <row r="102" spans="2:12" hidden="1" x14ac:dyDescent="0.3">
      <c r="B102" s="11">
        <v>23</v>
      </c>
      <c r="C102" s="17" t="s">
        <v>35</v>
      </c>
      <c r="D102" s="26"/>
      <c r="E102" s="26"/>
      <c r="F102" s="49">
        <f t="shared" si="16"/>
        <v>0</v>
      </c>
      <c r="G102" s="26">
        <f t="shared" si="18"/>
        <v>14677286.43</v>
      </c>
      <c r="H102" s="50">
        <v>0</v>
      </c>
      <c r="I102" s="26">
        <v>0</v>
      </c>
      <c r="J102" s="47"/>
      <c r="K102" s="50">
        <v>0</v>
      </c>
      <c r="L102" s="26">
        <v>0</v>
      </c>
    </row>
    <row r="103" spans="2:12" hidden="1" x14ac:dyDescent="0.3">
      <c r="B103" s="11">
        <v>24</v>
      </c>
      <c r="C103" s="17" t="s">
        <v>36</v>
      </c>
      <c r="D103" s="26"/>
      <c r="E103" s="26"/>
      <c r="F103" s="49">
        <f t="shared" si="16"/>
        <v>0</v>
      </c>
      <c r="G103" s="26">
        <f t="shared" si="18"/>
        <v>14677286.43</v>
      </c>
      <c r="H103" s="50">
        <v>0</v>
      </c>
      <c r="I103" s="26">
        <v>0</v>
      </c>
      <c r="J103" s="47"/>
      <c r="K103" s="50">
        <v>0</v>
      </c>
      <c r="L103" s="26">
        <v>0</v>
      </c>
    </row>
    <row r="104" spans="2:12" hidden="1" x14ac:dyDescent="0.3">
      <c r="B104" s="11">
        <v>25</v>
      </c>
      <c r="C104" s="18" t="s">
        <v>37</v>
      </c>
      <c r="D104" s="26"/>
      <c r="E104" s="26"/>
      <c r="F104" s="49">
        <f t="shared" si="16"/>
        <v>0</v>
      </c>
      <c r="G104" s="26">
        <f t="shared" si="18"/>
        <v>14677286.43</v>
      </c>
      <c r="H104" s="50">
        <v>0</v>
      </c>
      <c r="I104" s="26">
        <v>0</v>
      </c>
      <c r="J104" s="47"/>
      <c r="K104" s="50">
        <v>0</v>
      </c>
      <c r="L104" s="26">
        <v>0</v>
      </c>
    </row>
    <row r="105" spans="2:12" hidden="1" x14ac:dyDescent="0.3">
      <c r="B105" s="28">
        <v>26</v>
      </c>
      <c r="C105" s="29" t="s">
        <v>38</v>
      </c>
      <c r="D105" s="33"/>
      <c r="E105" s="33"/>
      <c r="F105" s="66">
        <f t="shared" si="16"/>
        <v>0</v>
      </c>
      <c r="G105" s="33">
        <f t="shared" si="18"/>
        <v>14677286.43</v>
      </c>
      <c r="H105" s="67">
        <v>0</v>
      </c>
      <c r="I105" s="33">
        <v>0</v>
      </c>
      <c r="J105" s="47"/>
      <c r="K105" s="50">
        <v>0</v>
      </c>
      <c r="L105" s="26">
        <v>0</v>
      </c>
    </row>
    <row r="106" spans="2:12" x14ac:dyDescent="0.3">
      <c r="B106" s="5"/>
      <c r="C106" s="5"/>
      <c r="D106" s="6"/>
      <c r="E106" s="6"/>
      <c r="F106" s="6"/>
      <c r="G106" s="6"/>
      <c r="H106" s="6"/>
      <c r="I106" s="6"/>
      <c r="J106" s="6"/>
    </row>
    <row r="107" spans="2:12" x14ac:dyDescent="0.3">
      <c r="B107" s="8" t="s">
        <v>39</v>
      </c>
      <c r="C107" s="5"/>
      <c r="D107" s="6"/>
      <c r="E107" s="6"/>
      <c r="F107" s="6"/>
      <c r="G107" s="6"/>
      <c r="H107" s="6"/>
      <c r="I107" s="6"/>
      <c r="J107" s="6"/>
    </row>
    <row r="108" spans="2:12" x14ac:dyDescent="0.3">
      <c r="B108" s="9" t="s">
        <v>40</v>
      </c>
      <c r="C108" s="5"/>
      <c r="D108" s="6"/>
      <c r="E108" s="6"/>
      <c r="F108" s="6"/>
      <c r="G108" s="6"/>
      <c r="H108" s="6"/>
      <c r="I108" s="6"/>
      <c r="J108" s="6"/>
    </row>
    <row r="109" spans="2:12" x14ac:dyDescent="0.3">
      <c r="B109" s="9" t="s">
        <v>41</v>
      </c>
      <c r="C109" s="5"/>
      <c r="D109" s="6"/>
      <c r="E109" s="6"/>
      <c r="F109" s="6"/>
      <c r="G109" s="6"/>
      <c r="H109" s="6"/>
      <c r="I109" s="6"/>
      <c r="J109" s="6"/>
    </row>
    <row r="110" spans="2:12" x14ac:dyDescent="0.3">
      <c r="B110" s="9" t="s">
        <v>42</v>
      </c>
      <c r="C110" s="5"/>
      <c r="D110" s="6"/>
      <c r="E110" s="6"/>
      <c r="F110" s="6"/>
      <c r="G110" s="6"/>
      <c r="H110" s="6"/>
      <c r="I110" s="6"/>
      <c r="J110" s="6"/>
    </row>
    <row r="113" spans="2:14" ht="18" x14ac:dyDescent="0.35">
      <c r="B113" s="10"/>
      <c r="C113" s="10"/>
      <c r="D113" s="142" t="s">
        <v>46</v>
      </c>
      <c r="E113" s="142"/>
      <c r="F113" s="142"/>
      <c r="G113" s="142"/>
      <c r="H113" s="142"/>
      <c r="I113" s="142"/>
      <c r="J113" s="44"/>
    </row>
    <row r="114" spans="2:14" s="37" customFormat="1" ht="21" customHeight="1" x14ac:dyDescent="0.4">
      <c r="B114" s="27"/>
      <c r="C114" s="27"/>
      <c r="D114" s="143" t="s">
        <v>44</v>
      </c>
      <c r="E114" s="143"/>
      <c r="F114" s="143"/>
      <c r="G114" s="143"/>
      <c r="H114" s="143"/>
      <c r="I114" s="143"/>
      <c r="J114" s="63"/>
      <c r="K114" s="68"/>
      <c r="L114" s="68"/>
    </row>
    <row r="115" spans="2:14" ht="15.9" customHeight="1" x14ac:dyDescent="0.3">
      <c r="B115" s="128" t="s">
        <v>84</v>
      </c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</row>
    <row r="116" spans="2:14" ht="14.4" customHeight="1" x14ac:dyDescent="0.3">
      <c r="B116" s="15"/>
      <c r="C116" s="16"/>
      <c r="D116" s="118" t="s">
        <v>6</v>
      </c>
      <c r="E116" s="119"/>
      <c r="F116" s="119"/>
      <c r="G116" s="120"/>
      <c r="H116" s="121" t="s">
        <v>7</v>
      </c>
      <c r="I116" s="122"/>
      <c r="J116" s="64"/>
      <c r="K116" s="121" t="s">
        <v>8</v>
      </c>
      <c r="L116" s="122"/>
    </row>
    <row r="117" spans="2:14" ht="14.4" customHeight="1" x14ac:dyDescent="0.3">
      <c r="B117" s="13"/>
      <c r="C117" s="14"/>
      <c r="D117" s="125" t="s">
        <v>9</v>
      </c>
      <c r="E117" s="126"/>
      <c r="F117" s="126"/>
      <c r="G117" s="127"/>
      <c r="H117" s="123"/>
      <c r="I117" s="124"/>
      <c r="J117" s="64"/>
      <c r="K117" s="123"/>
      <c r="L117" s="124"/>
    </row>
    <row r="118" spans="2:14" ht="14.4" customHeight="1" x14ac:dyDescent="0.3">
      <c r="B118" s="132" t="s">
        <v>10</v>
      </c>
      <c r="C118" s="134" t="s">
        <v>11</v>
      </c>
      <c r="D118" s="62" t="s">
        <v>12</v>
      </c>
      <c r="E118" s="62" t="s">
        <v>13</v>
      </c>
      <c r="F118" s="62" t="s">
        <v>14</v>
      </c>
      <c r="G118" s="62" t="s">
        <v>15</v>
      </c>
      <c r="H118" s="136" t="s">
        <v>16</v>
      </c>
      <c r="I118" s="138" t="s">
        <v>17</v>
      </c>
      <c r="J118" s="65"/>
      <c r="K118" s="136" t="s">
        <v>18</v>
      </c>
      <c r="L118" s="138" t="s">
        <v>19</v>
      </c>
    </row>
    <row r="119" spans="2:14" ht="40.65" customHeight="1" x14ac:dyDescent="0.3">
      <c r="B119" s="133"/>
      <c r="C119" s="135"/>
      <c r="D119" s="129" t="s">
        <v>20</v>
      </c>
      <c r="E119" s="130"/>
      <c r="F119" s="130"/>
      <c r="G119" s="131"/>
      <c r="H119" s="137"/>
      <c r="I119" s="139"/>
      <c r="J119" s="65"/>
      <c r="K119" s="137"/>
      <c r="L119" s="139"/>
    </row>
    <row r="120" spans="2:14" x14ac:dyDescent="0.3">
      <c r="B120" s="42">
        <v>4</v>
      </c>
      <c r="C120" s="40" t="s">
        <v>21</v>
      </c>
      <c r="D120" s="21">
        <v>195414.01</v>
      </c>
      <c r="E120" s="21">
        <v>0</v>
      </c>
      <c r="F120" s="45">
        <f>+D120+E120</f>
        <v>195414.01</v>
      </c>
      <c r="G120" s="21">
        <f>+F120</f>
        <v>195414.01</v>
      </c>
      <c r="H120" s="46">
        <v>0</v>
      </c>
      <c r="I120" s="21">
        <v>0</v>
      </c>
      <c r="J120" s="47"/>
      <c r="K120" s="48">
        <f t="shared" ref="K120:K130" si="19">((G120-L120)/L120)*100</f>
        <v>25.491162497863151</v>
      </c>
      <c r="L120" s="23">
        <f>467158.02/3</f>
        <v>155719.34</v>
      </c>
    </row>
    <row r="121" spans="2:14" x14ac:dyDescent="0.3">
      <c r="B121" s="42">
        <v>5</v>
      </c>
      <c r="C121" s="40" t="s">
        <v>22</v>
      </c>
      <c r="D121" s="26">
        <v>213874.7</v>
      </c>
      <c r="E121" s="26">
        <v>0</v>
      </c>
      <c r="F121" s="49">
        <f>+E121+D121</f>
        <v>213874.7</v>
      </c>
      <c r="G121" s="26">
        <f>+G120+F121</f>
        <v>409288.71</v>
      </c>
      <c r="H121" s="50">
        <f t="shared" ref="H121:H130" si="20">((G121-I121)/I121)*100</f>
        <v>-30.407918107260794</v>
      </c>
      <c r="I121" s="26">
        <f>+I120+588125.4</f>
        <v>588125.4</v>
      </c>
      <c r="J121" s="47"/>
      <c r="K121" s="50">
        <f t="shared" si="19"/>
        <v>-25.457529101050547</v>
      </c>
      <c r="L121" s="26">
        <f>1647203.42/3</f>
        <v>549067.80666666664</v>
      </c>
    </row>
    <row r="122" spans="2:14" x14ac:dyDescent="0.3">
      <c r="B122" s="42">
        <v>6</v>
      </c>
      <c r="C122" s="40" t="s">
        <v>23</v>
      </c>
      <c r="D122" s="26">
        <v>245270.22</v>
      </c>
      <c r="E122" s="26">
        <v>0</v>
      </c>
      <c r="F122" s="49">
        <f>+E122+D122</f>
        <v>245270.22</v>
      </c>
      <c r="G122" s="26">
        <f t="shared" ref="G122" si="21">+G121+F122</f>
        <v>654558.93000000005</v>
      </c>
      <c r="H122" s="50">
        <f t="shared" si="20"/>
        <v>-22.412363764613357</v>
      </c>
      <c r="I122" s="26">
        <f>+I121+255512.79</f>
        <v>843638.19000000006</v>
      </c>
      <c r="J122" s="47"/>
      <c r="K122" s="50">
        <f t="shared" si="19"/>
        <v>-16.304043907612726</v>
      </c>
      <c r="L122" s="26">
        <f>2346202.71/3</f>
        <v>782067.57</v>
      </c>
    </row>
    <row r="123" spans="2:14" x14ac:dyDescent="0.3">
      <c r="B123" s="42">
        <v>7</v>
      </c>
      <c r="C123" s="40" t="s">
        <v>24</v>
      </c>
      <c r="D123" s="26">
        <v>199584.66</v>
      </c>
      <c r="E123" s="26">
        <f>+Thompsons!E123+Flame!E123+'SA Sultana'!E123+'OR Sultana'!E123+Goldens!E123+Currants!E123+Other!E123</f>
        <v>0</v>
      </c>
      <c r="F123" s="49">
        <f t="shared" ref="F123:F142" si="22">+E123+D123</f>
        <v>199584.66</v>
      </c>
      <c r="G123" s="26">
        <f>+G122+F123</f>
        <v>854143.59000000008</v>
      </c>
      <c r="H123" s="50">
        <f t="shared" si="20"/>
        <v>-17.730536053607395</v>
      </c>
      <c r="I123" s="26">
        <f>+I122+194588.57</f>
        <v>1038226.76</v>
      </c>
      <c r="J123" s="47"/>
      <c r="K123" s="50">
        <f t="shared" si="19"/>
        <v>-11.575121088073416</v>
      </c>
      <c r="L123" s="26">
        <f>2897861.78/3</f>
        <v>965953.92666666664</v>
      </c>
      <c r="N123" s="41"/>
    </row>
    <row r="124" spans="2:14" x14ac:dyDescent="0.3">
      <c r="B124" s="42">
        <v>8</v>
      </c>
      <c r="C124" s="40" t="s">
        <v>25</v>
      </c>
      <c r="D124" s="26">
        <v>326755.93</v>
      </c>
      <c r="E124" s="26">
        <v>0</v>
      </c>
      <c r="F124" s="49">
        <f t="shared" si="22"/>
        <v>326755.93</v>
      </c>
      <c r="G124" s="26">
        <f t="shared" ref="G124:G126" si="23">+G123+F124</f>
        <v>1180899.52</v>
      </c>
      <c r="H124" s="50">
        <f t="shared" si="20"/>
        <v>-2.9438524739382803</v>
      </c>
      <c r="I124" s="26">
        <v>1216717.8999999999</v>
      </c>
      <c r="J124" s="47"/>
      <c r="K124" s="50">
        <f t="shared" si="19"/>
        <v>-7.6929448112940833</v>
      </c>
      <c r="L124" s="26">
        <f>3837949.93/3</f>
        <v>1279316.6433333333</v>
      </c>
    </row>
    <row r="125" spans="2:14" x14ac:dyDescent="0.3">
      <c r="B125" s="42">
        <v>9</v>
      </c>
      <c r="C125" s="40" t="s">
        <v>26</v>
      </c>
      <c r="D125" s="26">
        <v>288384.67</v>
      </c>
      <c r="E125" s="26">
        <v>0</v>
      </c>
      <c r="F125" s="49">
        <f t="shared" si="22"/>
        <v>288384.67</v>
      </c>
      <c r="G125" s="26">
        <f t="shared" si="23"/>
        <v>1469284.19</v>
      </c>
      <c r="H125" s="50">
        <f t="shared" si="20"/>
        <v>-0.81890056625639529</v>
      </c>
      <c r="I125" s="26">
        <v>1481415.51</v>
      </c>
      <c r="J125" s="47"/>
      <c r="K125" s="50">
        <f t="shared" si="19"/>
        <v>-1.868533481082836</v>
      </c>
      <c r="L125" s="26">
        <f>4491783.04/3</f>
        <v>1497261.0133333334</v>
      </c>
    </row>
    <row r="126" spans="2:14" x14ac:dyDescent="0.3">
      <c r="B126" s="42">
        <v>10</v>
      </c>
      <c r="C126" s="40" t="s">
        <v>67</v>
      </c>
      <c r="D126" s="26">
        <v>80303.12</v>
      </c>
      <c r="E126" s="26">
        <v>0</v>
      </c>
      <c r="F126" s="49">
        <f t="shared" si="22"/>
        <v>80303.12</v>
      </c>
      <c r="G126" s="26">
        <f t="shared" si="23"/>
        <v>1549587.31</v>
      </c>
      <c r="H126" s="50">
        <f t="shared" si="20"/>
        <v>-6.8811964157620391</v>
      </c>
      <c r="I126" s="26">
        <v>1664097.1</v>
      </c>
      <c r="J126" s="47"/>
      <c r="K126" s="50">
        <f t="shared" si="19"/>
        <v>-9.8398176273118008</v>
      </c>
      <c r="L126" s="26">
        <v>1718704.72</v>
      </c>
    </row>
    <row r="127" spans="2:14" x14ac:dyDescent="0.3">
      <c r="B127" s="42">
        <v>11</v>
      </c>
      <c r="C127" s="40" t="s">
        <v>68</v>
      </c>
      <c r="D127" s="26">
        <v>227744.17</v>
      </c>
      <c r="E127" s="26">
        <v>0</v>
      </c>
      <c r="F127" s="49">
        <f>+E127+D127</f>
        <v>227744.17</v>
      </c>
      <c r="G127" s="26">
        <f>+G126+F127</f>
        <v>1777331.48</v>
      </c>
      <c r="H127" s="50">
        <f t="shared" si="20"/>
        <v>2.9757363322757233</v>
      </c>
      <c r="I127" s="26">
        <f>+I126+61874.03</f>
        <v>1725971.1300000001</v>
      </c>
      <c r="J127" s="47"/>
      <c r="K127" s="50">
        <f t="shared" si="19"/>
        <v>-6.7913670815364133</v>
      </c>
      <c r="L127" s="26">
        <v>1906831.4</v>
      </c>
    </row>
    <row r="128" spans="2:14" x14ac:dyDescent="0.3">
      <c r="B128" s="42">
        <v>12</v>
      </c>
      <c r="C128" s="40" t="s">
        <v>83</v>
      </c>
      <c r="D128" s="26">
        <v>52749</v>
      </c>
      <c r="E128" s="26">
        <v>0</v>
      </c>
      <c r="F128" s="49">
        <f t="shared" ref="F128:F130" si="24">+E128+D128</f>
        <v>52749</v>
      </c>
      <c r="G128" s="26">
        <f>+G127+F128</f>
        <v>1830080.48</v>
      </c>
      <c r="H128" s="50">
        <f t="shared" si="20"/>
        <v>-4.4647615237315312</v>
      </c>
      <c r="I128" s="26">
        <v>1915607.8</v>
      </c>
      <c r="J128" s="47"/>
      <c r="K128" s="50">
        <f t="shared" si="19"/>
        <v>-14.4486860447672</v>
      </c>
      <c r="L128" s="26">
        <v>2139161.16</v>
      </c>
    </row>
    <row r="129" spans="2:12" x14ac:dyDescent="0.3">
      <c r="B129" s="42">
        <v>13</v>
      </c>
      <c r="C129" s="40" t="s">
        <v>69</v>
      </c>
      <c r="D129" s="26">
        <v>47617.97</v>
      </c>
      <c r="E129" s="26">
        <v>0</v>
      </c>
      <c r="F129" s="49">
        <f t="shared" si="24"/>
        <v>47617.97</v>
      </c>
      <c r="G129" s="26">
        <f t="shared" ref="G129:G130" si="25">+G128+F129</f>
        <v>1877698.45</v>
      </c>
      <c r="H129" s="50">
        <f t="shared" si="20"/>
        <v>-1.9789826519830804</v>
      </c>
      <c r="I129" s="26">
        <v>1915608</v>
      </c>
      <c r="J129" s="47"/>
      <c r="K129" s="50">
        <f t="shared" si="19"/>
        <v>-16.377114895409409</v>
      </c>
      <c r="L129" s="26">
        <v>2245436.1</v>
      </c>
    </row>
    <row r="130" spans="2:12" x14ac:dyDescent="0.3">
      <c r="B130" s="42">
        <v>14</v>
      </c>
      <c r="C130" s="86" t="s">
        <v>70</v>
      </c>
      <c r="D130" s="26">
        <v>76423.539999999994</v>
      </c>
      <c r="E130" s="26">
        <v>0</v>
      </c>
      <c r="F130" s="49">
        <f t="shared" si="24"/>
        <v>76423.539999999994</v>
      </c>
      <c r="G130" s="54">
        <f t="shared" si="25"/>
        <v>1954121.99</v>
      </c>
      <c r="H130" s="50">
        <f t="shared" si="20"/>
        <v>2.0105360804506969</v>
      </c>
      <c r="I130" s="26">
        <f>+I129+0</f>
        <v>1915608</v>
      </c>
      <c r="J130" s="47"/>
      <c r="K130" s="50">
        <f t="shared" si="19"/>
        <v>-15.441162283087506</v>
      </c>
      <c r="L130" s="26">
        <v>2310961.27</v>
      </c>
    </row>
    <row r="131" spans="2:12" hidden="1" x14ac:dyDescent="0.3">
      <c r="B131" s="11">
        <v>15</v>
      </c>
      <c r="C131" s="17" t="s">
        <v>27</v>
      </c>
      <c r="D131" s="26"/>
      <c r="E131" s="26"/>
      <c r="F131" s="49">
        <f t="shared" si="22"/>
        <v>0</v>
      </c>
      <c r="G131" s="26">
        <f t="shared" ref="G131:G142" si="26">+G130+F131</f>
        <v>1954121.99</v>
      </c>
      <c r="H131" s="50">
        <v>0</v>
      </c>
      <c r="I131" s="26">
        <v>0</v>
      </c>
      <c r="J131" s="47"/>
      <c r="K131" s="50">
        <v>0</v>
      </c>
      <c r="L131" s="26">
        <v>0</v>
      </c>
    </row>
    <row r="132" spans="2:12" hidden="1" x14ac:dyDescent="0.3">
      <c r="B132" s="11">
        <v>16</v>
      </c>
      <c r="C132" s="17" t="s">
        <v>28</v>
      </c>
      <c r="D132" s="26"/>
      <c r="E132" s="26"/>
      <c r="F132" s="49">
        <f t="shared" si="22"/>
        <v>0</v>
      </c>
      <c r="G132" s="26">
        <f t="shared" si="26"/>
        <v>1954121.99</v>
      </c>
      <c r="H132" s="50">
        <v>0</v>
      </c>
      <c r="I132" s="26">
        <v>0</v>
      </c>
      <c r="J132" s="47"/>
      <c r="K132" s="50">
        <v>0</v>
      </c>
      <c r="L132" s="26">
        <v>0</v>
      </c>
    </row>
    <row r="133" spans="2:12" hidden="1" x14ac:dyDescent="0.3">
      <c r="B133" s="11">
        <v>17</v>
      </c>
      <c r="C133" s="17" t="s">
        <v>29</v>
      </c>
      <c r="D133" s="26"/>
      <c r="E133" s="26"/>
      <c r="F133" s="49">
        <f t="shared" si="22"/>
        <v>0</v>
      </c>
      <c r="G133" s="26">
        <f t="shared" si="26"/>
        <v>1954121.99</v>
      </c>
      <c r="H133" s="50">
        <v>0</v>
      </c>
      <c r="I133" s="26">
        <v>0</v>
      </c>
      <c r="J133" s="47"/>
      <c r="K133" s="50">
        <v>0</v>
      </c>
      <c r="L133" s="26">
        <v>0</v>
      </c>
    </row>
    <row r="134" spans="2:12" hidden="1" x14ac:dyDescent="0.3">
      <c r="B134" s="11">
        <v>18</v>
      </c>
      <c r="C134" s="17" t="s">
        <v>30</v>
      </c>
      <c r="D134" s="26"/>
      <c r="E134" s="26"/>
      <c r="F134" s="49">
        <f t="shared" si="22"/>
        <v>0</v>
      </c>
      <c r="G134" s="26">
        <f t="shared" si="26"/>
        <v>1954121.99</v>
      </c>
      <c r="H134" s="50">
        <v>0</v>
      </c>
      <c r="I134" s="26">
        <v>0</v>
      </c>
      <c r="J134" s="47"/>
      <c r="K134" s="50">
        <v>0</v>
      </c>
      <c r="L134" s="26">
        <v>0</v>
      </c>
    </row>
    <row r="135" spans="2:12" hidden="1" x14ac:dyDescent="0.3">
      <c r="B135" s="11">
        <v>19</v>
      </c>
      <c r="C135" s="17" t="s">
        <v>31</v>
      </c>
      <c r="D135" s="26"/>
      <c r="E135" s="26"/>
      <c r="F135" s="49">
        <f t="shared" si="22"/>
        <v>0</v>
      </c>
      <c r="G135" s="26">
        <f t="shared" si="26"/>
        <v>1954121.99</v>
      </c>
      <c r="H135" s="50">
        <v>0</v>
      </c>
      <c r="I135" s="26">
        <v>0</v>
      </c>
      <c r="J135" s="47"/>
      <c r="K135" s="50">
        <v>0</v>
      </c>
      <c r="L135" s="26">
        <v>0</v>
      </c>
    </row>
    <row r="136" spans="2:12" hidden="1" x14ac:dyDescent="0.3">
      <c r="B136" s="11">
        <v>20</v>
      </c>
      <c r="C136" s="17" t="s">
        <v>32</v>
      </c>
      <c r="D136" s="26"/>
      <c r="E136" s="26"/>
      <c r="F136" s="49">
        <f t="shared" si="22"/>
        <v>0</v>
      </c>
      <c r="G136" s="26">
        <f t="shared" si="26"/>
        <v>1954121.99</v>
      </c>
      <c r="H136" s="50">
        <v>0</v>
      </c>
      <c r="I136" s="26">
        <v>0</v>
      </c>
      <c r="J136" s="47"/>
      <c r="K136" s="50">
        <v>0</v>
      </c>
      <c r="L136" s="26">
        <v>0</v>
      </c>
    </row>
    <row r="137" spans="2:12" hidden="1" x14ac:dyDescent="0.3">
      <c r="B137" s="11">
        <v>21</v>
      </c>
      <c r="C137" s="17" t="s">
        <v>33</v>
      </c>
      <c r="D137" s="26"/>
      <c r="E137" s="26"/>
      <c r="F137" s="49">
        <f t="shared" si="22"/>
        <v>0</v>
      </c>
      <c r="G137" s="26">
        <f t="shared" si="26"/>
        <v>1954121.99</v>
      </c>
      <c r="H137" s="50">
        <v>0</v>
      </c>
      <c r="I137" s="26">
        <v>0</v>
      </c>
      <c r="J137" s="47"/>
      <c r="K137" s="50">
        <v>0</v>
      </c>
      <c r="L137" s="26">
        <v>0</v>
      </c>
    </row>
    <row r="138" spans="2:12" hidden="1" x14ac:dyDescent="0.3">
      <c r="B138" s="11">
        <v>22</v>
      </c>
      <c r="C138" s="17" t="s">
        <v>34</v>
      </c>
      <c r="D138" s="26"/>
      <c r="E138" s="26"/>
      <c r="F138" s="49">
        <f t="shared" si="22"/>
        <v>0</v>
      </c>
      <c r="G138" s="26">
        <f t="shared" si="26"/>
        <v>1954121.99</v>
      </c>
      <c r="H138" s="50">
        <v>0</v>
      </c>
      <c r="I138" s="26">
        <v>0</v>
      </c>
      <c r="J138" s="47"/>
      <c r="K138" s="50">
        <v>0</v>
      </c>
      <c r="L138" s="26">
        <v>0</v>
      </c>
    </row>
    <row r="139" spans="2:12" hidden="1" x14ac:dyDescent="0.3">
      <c r="B139" s="11">
        <v>23</v>
      </c>
      <c r="C139" s="17" t="s">
        <v>35</v>
      </c>
      <c r="D139" s="26"/>
      <c r="E139" s="26"/>
      <c r="F139" s="49">
        <f t="shared" si="22"/>
        <v>0</v>
      </c>
      <c r="G139" s="26">
        <f t="shared" si="26"/>
        <v>1954121.99</v>
      </c>
      <c r="H139" s="50">
        <v>0</v>
      </c>
      <c r="I139" s="26">
        <v>0</v>
      </c>
      <c r="J139" s="47"/>
      <c r="K139" s="50">
        <v>0</v>
      </c>
      <c r="L139" s="26">
        <v>0</v>
      </c>
    </row>
    <row r="140" spans="2:12" hidden="1" x14ac:dyDescent="0.3">
      <c r="B140" s="11">
        <v>24</v>
      </c>
      <c r="C140" s="17" t="s">
        <v>36</v>
      </c>
      <c r="D140" s="26"/>
      <c r="E140" s="26"/>
      <c r="F140" s="49">
        <f t="shared" si="22"/>
        <v>0</v>
      </c>
      <c r="G140" s="26">
        <f t="shared" si="26"/>
        <v>1954121.99</v>
      </c>
      <c r="H140" s="50">
        <v>0</v>
      </c>
      <c r="I140" s="26">
        <v>0</v>
      </c>
      <c r="J140" s="47"/>
      <c r="K140" s="50">
        <v>0</v>
      </c>
      <c r="L140" s="26">
        <v>0</v>
      </c>
    </row>
    <row r="141" spans="2:12" hidden="1" x14ac:dyDescent="0.3">
      <c r="B141" s="11">
        <v>25</v>
      </c>
      <c r="C141" s="18" t="s">
        <v>37</v>
      </c>
      <c r="D141" s="26"/>
      <c r="E141" s="26"/>
      <c r="F141" s="49">
        <f t="shared" si="22"/>
        <v>0</v>
      </c>
      <c r="G141" s="26">
        <f t="shared" si="26"/>
        <v>1954121.99</v>
      </c>
      <c r="H141" s="50">
        <v>0</v>
      </c>
      <c r="I141" s="26">
        <v>0</v>
      </c>
      <c r="J141" s="47"/>
      <c r="K141" s="50">
        <v>0</v>
      </c>
      <c r="L141" s="26">
        <v>0</v>
      </c>
    </row>
    <row r="142" spans="2:12" hidden="1" x14ac:dyDescent="0.3">
      <c r="B142" s="28">
        <v>26</v>
      </c>
      <c r="C142" s="29" t="s">
        <v>38</v>
      </c>
      <c r="D142" s="33"/>
      <c r="E142" s="33"/>
      <c r="F142" s="66">
        <f t="shared" si="22"/>
        <v>0</v>
      </c>
      <c r="G142" s="33">
        <f t="shared" si="26"/>
        <v>1954121.99</v>
      </c>
      <c r="H142" s="67">
        <v>0</v>
      </c>
      <c r="I142" s="33">
        <v>0</v>
      </c>
      <c r="J142" s="47"/>
      <c r="K142" s="50">
        <v>0</v>
      </c>
      <c r="L142" s="26">
        <v>0</v>
      </c>
    </row>
    <row r="143" spans="2:12" x14ac:dyDescent="0.3">
      <c r="B143" s="5"/>
      <c r="C143" s="5"/>
      <c r="D143" s="6"/>
      <c r="E143" s="6"/>
      <c r="F143" s="6"/>
      <c r="G143" s="6"/>
      <c r="H143" s="6"/>
      <c r="I143" s="6"/>
      <c r="J143" s="6"/>
    </row>
    <row r="144" spans="2:12" x14ac:dyDescent="0.3">
      <c r="B144" s="8" t="s">
        <v>39</v>
      </c>
      <c r="C144" s="5"/>
      <c r="D144" s="6"/>
      <c r="E144" s="6"/>
      <c r="F144" s="6"/>
      <c r="G144" s="6"/>
      <c r="H144" s="6"/>
      <c r="I144" s="6"/>
      <c r="J144" s="6"/>
    </row>
    <row r="145" spans="2:10" x14ac:dyDescent="0.3">
      <c r="B145" s="9" t="s">
        <v>40</v>
      </c>
      <c r="C145" s="5"/>
      <c r="D145" s="6"/>
      <c r="E145" s="6"/>
      <c r="F145" s="6"/>
      <c r="G145" s="6"/>
      <c r="H145" s="6"/>
      <c r="I145" s="6"/>
      <c r="J145" s="6"/>
    </row>
    <row r="146" spans="2:10" x14ac:dyDescent="0.3">
      <c r="B146" s="9" t="s">
        <v>41</v>
      </c>
      <c r="C146" s="5"/>
      <c r="D146" s="6"/>
      <c r="E146" s="6"/>
      <c r="F146" s="6"/>
      <c r="G146" s="6"/>
      <c r="H146" s="6"/>
      <c r="I146" s="6"/>
      <c r="J146" s="6"/>
    </row>
    <row r="147" spans="2:10" x14ac:dyDescent="0.3">
      <c r="B147" s="9" t="s">
        <v>42</v>
      </c>
      <c r="C147" s="5"/>
      <c r="D147" s="6"/>
      <c r="E147" s="6"/>
      <c r="F147" s="6"/>
      <c r="G147" s="6"/>
      <c r="H147" s="6"/>
      <c r="I147" s="6"/>
      <c r="J147" s="6"/>
    </row>
  </sheetData>
  <sheetProtection formatCells="0" formatColumns="0" formatRows="0" insertColumns="0" insertRows="0" insertHyperlinks="0" deleteColumns="0" deleteRows="0" sort="0" autoFilter="0" pivotTables="0"/>
  <mergeCells count="55">
    <mergeCell ref="K118:K119"/>
    <mergeCell ref="L118:L119"/>
    <mergeCell ref="B41:L41"/>
    <mergeCell ref="K42:L43"/>
    <mergeCell ref="K44:K45"/>
    <mergeCell ref="L44:L45"/>
    <mergeCell ref="K79:L80"/>
    <mergeCell ref="K81:K82"/>
    <mergeCell ref="L81:L82"/>
    <mergeCell ref="B118:B119"/>
    <mergeCell ref="C118:C119"/>
    <mergeCell ref="H118:H119"/>
    <mergeCell ref="I118:I119"/>
    <mergeCell ref="D119:G119"/>
    <mergeCell ref="D113:I113"/>
    <mergeCell ref="D114:I114"/>
    <mergeCell ref="D116:G116"/>
    <mergeCell ref="H116:I117"/>
    <mergeCell ref="D117:G117"/>
    <mergeCell ref="B115:L115"/>
    <mergeCell ref="K116:L117"/>
    <mergeCell ref="D79:G79"/>
    <mergeCell ref="H79:I80"/>
    <mergeCell ref="D80:G80"/>
    <mergeCell ref="B81:B82"/>
    <mergeCell ref="C81:C82"/>
    <mergeCell ref="H81:H82"/>
    <mergeCell ref="I81:I82"/>
    <mergeCell ref="D82:G82"/>
    <mergeCell ref="I44:I45"/>
    <mergeCell ref="D45:G45"/>
    <mergeCell ref="D76:I76"/>
    <mergeCell ref="D77:I77"/>
    <mergeCell ref="B78:L78"/>
    <mergeCell ref="D6:G6"/>
    <mergeCell ref="D5:G5"/>
    <mergeCell ref="B44:B45"/>
    <mergeCell ref="C44:C45"/>
    <mergeCell ref="H44:H45"/>
    <mergeCell ref="D3:I3"/>
    <mergeCell ref="D39:I39"/>
    <mergeCell ref="D40:I40"/>
    <mergeCell ref="D42:G42"/>
    <mergeCell ref="H42:I43"/>
    <mergeCell ref="D43:G43"/>
    <mergeCell ref="B4:L4"/>
    <mergeCell ref="D8:G8"/>
    <mergeCell ref="B7:B8"/>
    <mergeCell ref="C7:C8"/>
    <mergeCell ref="H7:H8"/>
    <mergeCell ref="I7:I8"/>
    <mergeCell ref="K7:K8"/>
    <mergeCell ref="L7:L8"/>
    <mergeCell ref="H5:I6"/>
    <mergeCell ref="K5:L6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F266-2F96-4BE0-A5C9-92B4AAFCB5DA}">
  <sheetPr codeName="Sheet3"/>
  <dimension ref="B3:L147"/>
  <sheetViews>
    <sheetView topLeftCell="A119" workbookViewId="0">
      <selection activeCell="A131" sqref="A131:XFD142"/>
    </sheetView>
  </sheetViews>
  <sheetFormatPr defaultColWidth="9" defaultRowHeight="14.4" x14ac:dyDescent="0.3"/>
  <cols>
    <col min="1" max="1" width="2" style="3" customWidth="1"/>
    <col min="2" max="2" width="6.875" style="3" customWidth="1"/>
    <col min="3" max="3" width="25.625" style="3" customWidth="1"/>
    <col min="4" max="4" width="18.625" style="41" customWidth="1"/>
    <col min="5" max="5" width="13" style="41" customWidth="1"/>
    <col min="6" max="6" width="14.875" style="41" customWidth="1"/>
    <col min="7" max="7" width="14.625" style="41" customWidth="1"/>
    <col min="8" max="8" width="13" style="41" customWidth="1"/>
    <col min="9" max="9" width="17.125" style="41" customWidth="1"/>
    <col min="10" max="11" width="9" style="3"/>
    <col min="12" max="12" width="15.375" style="3" bestFit="1" customWidth="1"/>
    <col min="13" max="16384" width="9" style="3"/>
  </cols>
  <sheetData>
    <row r="3" spans="2:12" s="37" customFormat="1" ht="18" x14ac:dyDescent="0.35">
      <c r="B3" s="27"/>
      <c r="C3" s="27"/>
      <c r="D3" s="144" t="s">
        <v>47</v>
      </c>
      <c r="E3" s="144"/>
      <c r="F3" s="144"/>
      <c r="G3" s="144"/>
      <c r="H3" s="144"/>
      <c r="I3" s="144"/>
      <c r="J3" s="27"/>
      <c r="K3" s="38"/>
      <c r="L3" s="2"/>
    </row>
    <row r="4" spans="2:12" ht="15.9" customHeight="1" x14ac:dyDescent="0.3">
      <c r="B4" s="128" t="s">
        <v>84</v>
      </c>
      <c r="C4" s="128"/>
      <c r="D4" s="128"/>
      <c r="E4" s="128"/>
      <c r="F4" s="128"/>
      <c r="G4" s="128"/>
      <c r="H4" s="128"/>
      <c r="I4" s="128"/>
      <c r="J4" s="128"/>
      <c r="K4" s="1"/>
      <c r="L4" s="2"/>
    </row>
    <row r="5" spans="2:12" ht="14.4" customHeight="1" x14ac:dyDescent="0.3">
      <c r="B5" s="15"/>
      <c r="C5" s="16"/>
      <c r="D5" s="118" t="s">
        <v>6</v>
      </c>
      <c r="E5" s="119"/>
      <c r="F5" s="119"/>
      <c r="G5" s="120"/>
      <c r="H5" s="121" t="s">
        <v>7</v>
      </c>
      <c r="I5" s="122"/>
      <c r="J5" s="4"/>
      <c r="K5" s="1"/>
      <c r="L5" s="2"/>
    </row>
    <row r="6" spans="2:12" ht="14.4" customHeight="1" x14ac:dyDescent="0.3">
      <c r="B6" s="13"/>
      <c r="C6" s="14"/>
      <c r="D6" s="125" t="s">
        <v>9</v>
      </c>
      <c r="E6" s="126"/>
      <c r="F6" s="126"/>
      <c r="G6" s="127"/>
      <c r="H6" s="123"/>
      <c r="I6" s="124"/>
      <c r="J6" s="4"/>
      <c r="K6" s="1"/>
      <c r="L6" s="2"/>
    </row>
    <row r="7" spans="2:12" ht="18.899999999999999" customHeight="1" x14ac:dyDescent="0.3">
      <c r="B7" s="132" t="s">
        <v>10</v>
      </c>
      <c r="C7" s="134" t="s">
        <v>11</v>
      </c>
      <c r="D7" s="62" t="s">
        <v>12</v>
      </c>
      <c r="E7" s="62" t="s">
        <v>13</v>
      </c>
      <c r="F7" s="62" t="s">
        <v>14</v>
      </c>
      <c r="G7" s="62" t="s">
        <v>15</v>
      </c>
      <c r="H7" s="136" t="s">
        <v>16</v>
      </c>
      <c r="I7" s="138" t="s">
        <v>17</v>
      </c>
      <c r="J7" s="20"/>
      <c r="K7" s="1"/>
      <c r="L7" s="2"/>
    </row>
    <row r="8" spans="2:12" ht="31.35" customHeight="1" x14ac:dyDescent="0.3">
      <c r="B8" s="133"/>
      <c r="C8" s="135"/>
      <c r="D8" s="145" t="s">
        <v>20</v>
      </c>
      <c r="E8" s="146"/>
      <c r="F8" s="146"/>
      <c r="G8" s="147"/>
      <c r="H8" s="137"/>
      <c r="I8" s="139"/>
      <c r="J8" s="20"/>
      <c r="K8" s="1"/>
    </row>
    <row r="9" spans="2:12" x14ac:dyDescent="0.3">
      <c r="B9" s="42">
        <v>4</v>
      </c>
      <c r="C9" s="40" t="s">
        <v>21</v>
      </c>
      <c r="D9" s="21">
        <v>696917.44</v>
      </c>
      <c r="E9" s="21">
        <v>0</v>
      </c>
      <c r="F9" s="45">
        <f>+D9+E9</f>
        <v>696917.44</v>
      </c>
      <c r="G9" s="21">
        <f>+F9</f>
        <v>696917.44</v>
      </c>
      <c r="H9" s="46">
        <f t="shared" ref="H9:H12" si="0">((G9-I9)/I9)*100</f>
        <v>404.17235043044195</v>
      </c>
      <c r="I9" s="21">
        <v>138230</v>
      </c>
      <c r="J9" s="22"/>
      <c r="K9" s="1"/>
    </row>
    <row r="10" spans="2:12" x14ac:dyDescent="0.3">
      <c r="B10" s="42">
        <v>5</v>
      </c>
      <c r="C10" s="40" t="s">
        <v>22</v>
      </c>
      <c r="D10" s="26">
        <v>4382751.42</v>
      </c>
      <c r="E10" s="26">
        <v>0</v>
      </c>
      <c r="F10" s="49">
        <f>+E10+D10</f>
        <v>4382751.42</v>
      </c>
      <c r="G10" s="26">
        <f>+G9+F10</f>
        <v>5079668.8599999994</v>
      </c>
      <c r="H10" s="50">
        <f t="shared" si="0"/>
        <v>129.39980280898408</v>
      </c>
      <c r="I10" s="26">
        <f>+I9+2076100.09</f>
        <v>2214330.09</v>
      </c>
      <c r="J10" s="22"/>
      <c r="K10" s="1"/>
    </row>
    <row r="11" spans="2:12" x14ac:dyDescent="0.3">
      <c r="B11" s="42">
        <v>6</v>
      </c>
      <c r="C11" s="40" t="s">
        <v>23</v>
      </c>
      <c r="D11" s="26">
        <f>6155544.29-79989</f>
        <v>6075555.29</v>
      </c>
      <c r="E11" s="26">
        <f>+E48</f>
        <v>79989</v>
      </c>
      <c r="F11" s="49">
        <f>+E11+D11</f>
        <v>6155544.29</v>
      </c>
      <c r="G11" s="26">
        <f t="shared" ref="G11:G31" si="1">+G10+F11</f>
        <v>11235213.149999999</v>
      </c>
      <c r="H11" s="50">
        <f t="shared" si="0"/>
        <v>164.37779724668982</v>
      </c>
      <c r="I11" s="26">
        <f>+I10+2035350.96</f>
        <v>4249681.05</v>
      </c>
      <c r="J11" s="22"/>
      <c r="K11" s="1"/>
      <c r="L11" s="39"/>
    </row>
    <row r="12" spans="2:12" x14ac:dyDescent="0.3">
      <c r="B12" s="42">
        <v>7</v>
      </c>
      <c r="C12" s="40" t="s">
        <v>24</v>
      </c>
      <c r="D12" s="26">
        <v>2466772.65</v>
      </c>
      <c r="E12" s="26">
        <v>3178848</v>
      </c>
      <c r="F12" s="49">
        <f t="shared" ref="F12:F31" si="2">+E12+D12</f>
        <v>5645620.6500000004</v>
      </c>
      <c r="G12" s="26">
        <f>+G11+F12</f>
        <v>16880833.799999997</v>
      </c>
      <c r="H12" s="50">
        <f t="shared" si="0"/>
        <v>105.19430683355768</v>
      </c>
      <c r="I12" s="26">
        <f>+I11+3977074.39</f>
        <v>8226755.4399999995</v>
      </c>
      <c r="J12" s="22"/>
      <c r="K12" s="1"/>
      <c r="L12" s="39"/>
    </row>
    <row r="13" spans="2:12" x14ac:dyDescent="0.3">
      <c r="B13" s="42">
        <v>8</v>
      </c>
      <c r="C13" s="40" t="s">
        <v>25</v>
      </c>
      <c r="D13" s="26">
        <v>5219153.76</v>
      </c>
      <c r="E13" s="26">
        <v>0</v>
      </c>
      <c r="F13" s="49">
        <f t="shared" si="2"/>
        <v>5219153.76</v>
      </c>
      <c r="G13" s="26">
        <f t="shared" ref="G13:G19" si="3">+G12+F13</f>
        <v>22099987.559999995</v>
      </c>
      <c r="H13" s="50">
        <f>((G13-I13)/I13)*100</f>
        <v>61.518350704701383</v>
      </c>
      <c r="I13" s="26">
        <v>13682648.109999999</v>
      </c>
      <c r="J13" s="22"/>
      <c r="K13" s="1"/>
      <c r="L13" s="41"/>
    </row>
    <row r="14" spans="2:12" x14ac:dyDescent="0.3">
      <c r="B14" s="42">
        <v>9</v>
      </c>
      <c r="C14" s="40" t="s">
        <v>26</v>
      </c>
      <c r="D14" s="26">
        <v>4452434.1500000004</v>
      </c>
      <c r="E14" s="26">
        <v>0</v>
      </c>
      <c r="F14" s="49">
        <f t="shared" si="2"/>
        <v>4452434.1500000004</v>
      </c>
      <c r="G14" s="26">
        <f t="shared" si="3"/>
        <v>26552421.709999993</v>
      </c>
      <c r="H14" s="50">
        <f t="shared" ref="H14:H19" si="4">((G14-I14)/I14)*100</f>
        <v>41.191446292220242</v>
      </c>
      <c r="I14" s="26">
        <v>18805970.48</v>
      </c>
      <c r="J14" s="22"/>
      <c r="K14" s="1"/>
    </row>
    <row r="15" spans="2:12" x14ac:dyDescent="0.3">
      <c r="B15" s="42">
        <v>10</v>
      </c>
      <c r="C15" s="40" t="s">
        <v>67</v>
      </c>
      <c r="D15" s="26">
        <v>8612538.6099999994</v>
      </c>
      <c r="E15" s="26">
        <v>0</v>
      </c>
      <c r="F15" s="49">
        <f t="shared" si="2"/>
        <v>8612538.6099999994</v>
      </c>
      <c r="G15" s="26">
        <f t="shared" si="3"/>
        <v>35164960.319999993</v>
      </c>
      <c r="H15" s="50">
        <f t="shared" si="4"/>
        <v>35.631366001691525</v>
      </c>
      <c r="I15" s="26">
        <f>+I14+7120893.9</f>
        <v>25926864.380000003</v>
      </c>
      <c r="J15" s="22"/>
      <c r="K15" s="1"/>
    </row>
    <row r="16" spans="2:12" x14ac:dyDescent="0.3">
      <c r="B16" s="42">
        <v>11</v>
      </c>
      <c r="C16" s="40" t="s">
        <v>68</v>
      </c>
      <c r="D16" s="26">
        <v>7184835.5999999996</v>
      </c>
      <c r="E16" s="26">
        <v>0</v>
      </c>
      <c r="F16" s="49">
        <f t="shared" si="2"/>
        <v>7184835.5999999996</v>
      </c>
      <c r="G16" s="26">
        <f t="shared" si="3"/>
        <v>42349795.919999994</v>
      </c>
      <c r="H16" s="50">
        <f t="shared" si="4"/>
        <v>33.479345501327465</v>
      </c>
      <c r="I16" s="26">
        <f>+I15+5800737.94</f>
        <v>31727602.320000004</v>
      </c>
      <c r="J16" s="22"/>
      <c r="K16" s="1"/>
    </row>
    <row r="17" spans="2:11" x14ac:dyDescent="0.3">
      <c r="B17" s="42">
        <v>12</v>
      </c>
      <c r="C17" s="40" t="s">
        <v>83</v>
      </c>
      <c r="D17" s="26">
        <v>6922769.54</v>
      </c>
      <c r="E17" s="26">
        <v>0</v>
      </c>
      <c r="F17" s="49">
        <f t="shared" si="2"/>
        <v>6922769.54</v>
      </c>
      <c r="G17" s="26">
        <f t="shared" si="3"/>
        <v>49272565.459999993</v>
      </c>
      <c r="H17" s="50">
        <f t="shared" si="4"/>
        <v>29.380368677512919</v>
      </c>
      <c r="I17" s="26">
        <f>+I16+6355892.08</f>
        <v>38083494.400000006</v>
      </c>
      <c r="J17" s="22"/>
      <c r="K17" s="1"/>
    </row>
    <row r="18" spans="2:11" x14ac:dyDescent="0.3">
      <c r="B18" s="42">
        <v>13</v>
      </c>
      <c r="C18" s="40" t="s">
        <v>69</v>
      </c>
      <c r="D18" s="26">
        <v>4166259.22</v>
      </c>
      <c r="E18" s="26">
        <v>0</v>
      </c>
      <c r="F18" s="49">
        <f t="shared" si="2"/>
        <v>4166259.22</v>
      </c>
      <c r="G18" s="26">
        <f t="shared" si="3"/>
        <v>53438824.679999992</v>
      </c>
      <c r="H18" s="50">
        <f t="shared" si="4"/>
        <v>26.679201073343663</v>
      </c>
      <c r="I18" s="26">
        <v>42184371.409999996</v>
      </c>
      <c r="J18" s="22"/>
      <c r="K18" s="1"/>
    </row>
    <row r="19" spans="2:11" x14ac:dyDescent="0.3">
      <c r="B19" s="42">
        <v>14</v>
      </c>
      <c r="C19" s="86" t="s">
        <v>70</v>
      </c>
      <c r="D19" s="26">
        <v>1249646.03</v>
      </c>
      <c r="E19" s="26">
        <v>0</v>
      </c>
      <c r="F19" s="49">
        <f t="shared" si="2"/>
        <v>1249646.03</v>
      </c>
      <c r="G19" s="26">
        <f t="shared" si="3"/>
        <v>54688470.709999993</v>
      </c>
      <c r="H19" s="50">
        <f t="shared" si="4"/>
        <v>17.098257996896031</v>
      </c>
      <c r="I19" s="26">
        <f>+I18+4518689.46</f>
        <v>46703060.869999997</v>
      </c>
      <c r="J19" s="22"/>
      <c r="K19" s="1"/>
    </row>
    <row r="20" spans="2:11" hidden="1" x14ac:dyDescent="0.3">
      <c r="B20" s="11">
        <v>15</v>
      </c>
      <c r="C20" s="17" t="s">
        <v>27</v>
      </c>
      <c r="D20" s="26"/>
      <c r="E20" s="26"/>
      <c r="F20" s="49">
        <f t="shared" si="2"/>
        <v>0</v>
      </c>
      <c r="G20" s="26">
        <f t="shared" si="1"/>
        <v>54688470.709999993</v>
      </c>
      <c r="H20" s="50">
        <v>0</v>
      </c>
      <c r="I20" s="26">
        <v>0</v>
      </c>
      <c r="J20" s="22"/>
      <c r="K20" s="1"/>
    </row>
    <row r="21" spans="2:11" hidden="1" x14ac:dyDescent="0.3">
      <c r="B21" s="11">
        <v>16</v>
      </c>
      <c r="C21" s="17" t="s">
        <v>28</v>
      </c>
      <c r="D21" s="26"/>
      <c r="E21" s="26"/>
      <c r="F21" s="49">
        <f t="shared" si="2"/>
        <v>0</v>
      </c>
      <c r="G21" s="26">
        <f t="shared" si="1"/>
        <v>54688470.709999993</v>
      </c>
      <c r="H21" s="50">
        <v>0</v>
      </c>
      <c r="I21" s="26">
        <v>0</v>
      </c>
      <c r="J21" s="22"/>
      <c r="K21" s="1"/>
    </row>
    <row r="22" spans="2:11" hidden="1" x14ac:dyDescent="0.3">
      <c r="B22" s="11">
        <v>17</v>
      </c>
      <c r="C22" s="17" t="s">
        <v>29</v>
      </c>
      <c r="D22" s="26"/>
      <c r="E22" s="26"/>
      <c r="F22" s="49">
        <f t="shared" si="2"/>
        <v>0</v>
      </c>
      <c r="G22" s="26">
        <f t="shared" si="1"/>
        <v>54688470.709999993</v>
      </c>
      <c r="H22" s="50">
        <v>0</v>
      </c>
      <c r="I22" s="26">
        <v>0</v>
      </c>
      <c r="J22" s="22"/>
      <c r="K22" s="1"/>
    </row>
    <row r="23" spans="2:11" hidden="1" x14ac:dyDescent="0.3">
      <c r="B23" s="11">
        <v>18</v>
      </c>
      <c r="C23" s="17" t="s">
        <v>30</v>
      </c>
      <c r="D23" s="26"/>
      <c r="E23" s="26"/>
      <c r="F23" s="49">
        <f t="shared" si="2"/>
        <v>0</v>
      </c>
      <c r="G23" s="26">
        <f t="shared" si="1"/>
        <v>54688470.709999993</v>
      </c>
      <c r="H23" s="50">
        <v>0</v>
      </c>
      <c r="I23" s="26">
        <v>0</v>
      </c>
      <c r="J23" s="22"/>
      <c r="K23" s="1"/>
    </row>
    <row r="24" spans="2:11" hidden="1" x14ac:dyDescent="0.3">
      <c r="B24" s="11">
        <v>19</v>
      </c>
      <c r="C24" s="17" t="s">
        <v>31</v>
      </c>
      <c r="D24" s="26"/>
      <c r="E24" s="26"/>
      <c r="F24" s="49">
        <f t="shared" si="2"/>
        <v>0</v>
      </c>
      <c r="G24" s="26">
        <f t="shared" si="1"/>
        <v>54688470.709999993</v>
      </c>
      <c r="H24" s="50">
        <v>0</v>
      </c>
      <c r="I24" s="26">
        <v>0</v>
      </c>
      <c r="J24" s="22"/>
      <c r="K24" s="1"/>
    </row>
    <row r="25" spans="2:11" hidden="1" x14ac:dyDescent="0.3">
      <c r="B25" s="11">
        <v>20</v>
      </c>
      <c r="C25" s="17" t="s">
        <v>32</v>
      </c>
      <c r="D25" s="26"/>
      <c r="E25" s="26"/>
      <c r="F25" s="49">
        <f t="shared" si="2"/>
        <v>0</v>
      </c>
      <c r="G25" s="26">
        <f t="shared" si="1"/>
        <v>54688470.709999993</v>
      </c>
      <c r="H25" s="50">
        <v>0</v>
      </c>
      <c r="I25" s="26">
        <v>0</v>
      </c>
      <c r="J25" s="22"/>
      <c r="K25" s="1"/>
    </row>
    <row r="26" spans="2:11" hidden="1" x14ac:dyDescent="0.3">
      <c r="B26" s="11">
        <v>21</v>
      </c>
      <c r="C26" s="17" t="s">
        <v>33</v>
      </c>
      <c r="D26" s="26"/>
      <c r="E26" s="26"/>
      <c r="F26" s="49">
        <f t="shared" si="2"/>
        <v>0</v>
      </c>
      <c r="G26" s="26">
        <f t="shared" si="1"/>
        <v>54688470.709999993</v>
      </c>
      <c r="H26" s="50">
        <v>0</v>
      </c>
      <c r="I26" s="26">
        <v>0</v>
      </c>
      <c r="J26" s="22"/>
      <c r="K26" s="1"/>
    </row>
    <row r="27" spans="2:11" hidden="1" x14ac:dyDescent="0.3">
      <c r="B27" s="11">
        <v>22</v>
      </c>
      <c r="C27" s="17" t="s">
        <v>34</v>
      </c>
      <c r="D27" s="26"/>
      <c r="E27" s="26"/>
      <c r="F27" s="49">
        <f t="shared" si="2"/>
        <v>0</v>
      </c>
      <c r="G27" s="26">
        <f t="shared" si="1"/>
        <v>54688470.709999993</v>
      </c>
      <c r="H27" s="50">
        <v>0</v>
      </c>
      <c r="I27" s="26">
        <v>0</v>
      </c>
      <c r="J27" s="22"/>
      <c r="K27" s="1"/>
    </row>
    <row r="28" spans="2:11" hidden="1" x14ac:dyDescent="0.3">
      <c r="B28" s="11">
        <v>23</v>
      </c>
      <c r="C28" s="17" t="s">
        <v>35</v>
      </c>
      <c r="D28" s="26"/>
      <c r="E28" s="26"/>
      <c r="F28" s="49">
        <f t="shared" si="2"/>
        <v>0</v>
      </c>
      <c r="G28" s="26">
        <f t="shared" si="1"/>
        <v>54688470.709999993</v>
      </c>
      <c r="H28" s="50">
        <v>0</v>
      </c>
      <c r="I28" s="26">
        <v>0</v>
      </c>
      <c r="J28" s="22"/>
      <c r="K28" s="1"/>
    </row>
    <row r="29" spans="2:11" hidden="1" x14ac:dyDescent="0.3">
      <c r="B29" s="11">
        <v>24</v>
      </c>
      <c r="C29" s="17" t="s">
        <v>36</v>
      </c>
      <c r="D29" s="26"/>
      <c r="E29" s="26"/>
      <c r="F29" s="49">
        <f t="shared" si="2"/>
        <v>0</v>
      </c>
      <c r="G29" s="26">
        <f t="shared" si="1"/>
        <v>54688470.709999993</v>
      </c>
      <c r="H29" s="50">
        <v>0</v>
      </c>
      <c r="I29" s="26">
        <v>0</v>
      </c>
      <c r="J29" s="22"/>
      <c r="K29" s="1"/>
    </row>
    <row r="30" spans="2:11" hidden="1" x14ac:dyDescent="0.3">
      <c r="B30" s="11">
        <v>25</v>
      </c>
      <c r="C30" s="18" t="s">
        <v>37</v>
      </c>
      <c r="D30" s="26"/>
      <c r="E30" s="26"/>
      <c r="F30" s="49">
        <f t="shared" si="2"/>
        <v>0</v>
      </c>
      <c r="G30" s="26">
        <f t="shared" si="1"/>
        <v>54688470.709999993</v>
      </c>
      <c r="H30" s="50">
        <v>0</v>
      </c>
      <c r="I30" s="26">
        <v>0</v>
      </c>
      <c r="J30" s="22"/>
      <c r="K30" s="1"/>
    </row>
    <row r="31" spans="2:11" hidden="1" x14ac:dyDescent="0.3">
      <c r="B31" s="28">
        <v>26</v>
      </c>
      <c r="C31" s="29" t="s">
        <v>38</v>
      </c>
      <c r="D31" s="33"/>
      <c r="E31" s="33"/>
      <c r="F31" s="66">
        <f t="shared" si="2"/>
        <v>0</v>
      </c>
      <c r="G31" s="33">
        <f t="shared" si="1"/>
        <v>54688470.709999993</v>
      </c>
      <c r="H31" s="67">
        <v>0</v>
      </c>
      <c r="I31" s="33">
        <v>0</v>
      </c>
      <c r="J31" s="22"/>
      <c r="K31" s="1"/>
    </row>
    <row r="32" spans="2:11" x14ac:dyDescent="0.3">
      <c r="B32" s="5"/>
      <c r="C32" s="5"/>
      <c r="D32" s="6"/>
      <c r="E32" s="6"/>
      <c r="F32" s="6"/>
      <c r="G32" s="6"/>
      <c r="H32" s="6"/>
      <c r="I32" s="6"/>
      <c r="J32" s="5"/>
      <c r="K32" s="1"/>
    </row>
    <row r="33" spans="2:11" x14ac:dyDescent="0.3">
      <c r="B33" s="8" t="s">
        <v>39</v>
      </c>
      <c r="C33" s="5"/>
      <c r="D33" s="6"/>
      <c r="E33" s="6"/>
      <c r="F33" s="6"/>
      <c r="G33" s="6"/>
      <c r="H33" s="6"/>
      <c r="I33" s="6"/>
      <c r="J33" s="5"/>
      <c r="K33" s="1"/>
    </row>
    <row r="34" spans="2:11" x14ac:dyDescent="0.3">
      <c r="B34" s="9" t="s">
        <v>40</v>
      </c>
      <c r="C34" s="5"/>
      <c r="D34" s="6"/>
      <c r="E34" s="6"/>
      <c r="F34" s="6"/>
      <c r="G34" s="6"/>
      <c r="H34" s="6"/>
      <c r="I34" s="6"/>
      <c r="J34" s="5"/>
      <c r="K34" s="1"/>
    </row>
    <row r="35" spans="2:11" x14ac:dyDescent="0.3">
      <c r="B35" s="9" t="s">
        <v>41</v>
      </c>
      <c r="C35" s="5"/>
      <c r="D35" s="6"/>
      <c r="E35" s="6"/>
      <c r="F35" s="6"/>
      <c r="G35" s="6"/>
      <c r="H35" s="6"/>
      <c r="I35" s="6"/>
      <c r="J35" s="5"/>
      <c r="K35" s="1"/>
    </row>
    <row r="36" spans="2:11" x14ac:dyDescent="0.3">
      <c r="B36" s="9" t="s">
        <v>42</v>
      </c>
      <c r="C36" s="5"/>
      <c r="D36" s="6"/>
      <c r="E36" s="6"/>
      <c r="F36" s="6"/>
      <c r="G36" s="6"/>
      <c r="H36" s="6"/>
      <c r="I36" s="6"/>
      <c r="J36" s="5"/>
      <c r="K36" s="1"/>
    </row>
    <row r="37" spans="2:11" x14ac:dyDescent="0.3">
      <c r="B37" s="9"/>
      <c r="C37" s="5"/>
      <c r="D37" s="6"/>
      <c r="E37" s="6"/>
      <c r="F37" s="6"/>
      <c r="G37" s="6"/>
      <c r="H37" s="6"/>
      <c r="I37" s="6"/>
      <c r="J37" s="5"/>
      <c r="K37" s="1"/>
    </row>
    <row r="38" spans="2:11" x14ac:dyDescent="0.3">
      <c r="B38" s="9"/>
      <c r="C38" s="5"/>
      <c r="D38" s="6"/>
      <c r="E38" s="6"/>
      <c r="F38" s="6"/>
      <c r="G38" s="6"/>
      <c r="H38" s="6"/>
      <c r="I38" s="6"/>
      <c r="J38" s="5"/>
      <c r="K38" s="1"/>
    </row>
    <row r="39" spans="2:11" ht="18" x14ac:dyDescent="0.35">
      <c r="B39" s="10"/>
      <c r="C39" s="10"/>
      <c r="D39" s="116" t="s">
        <v>43</v>
      </c>
      <c r="E39" s="116"/>
      <c r="F39" s="116"/>
      <c r="G39" s="116"/>
      <c r="H39" s="116"/>
      <c r="I39" s="116"/>
      <c r="J39" s="10"/>
    </row>
    <row r="40" spans="2:11" s="37" customFormat="1" ht="15.6" x14ac:dyDescent="0.3">
      <c r="B40" s="27"/>
      <c r="C40" s="27"/>
      <c r="D40" s="148" t="s">
        <v>47</v>
      </c>
      <c r="E40" s="148"/>
      <c r="F40" s="148"/>
      <c r="G40" s="148"/>
      <c r="H40" s="148"/>
      <c r="I40" s="148"/>
      <c r="J40" s="27"/>
    </row>
    <row r="41" spans="2:11" ht="15.9" customHeight="1" x14ac:dyDescent="0.3">
      <c r="B41" s="128" t="s">
        <v>84</v>
      </c>
      <c r="C41" s="128"/>
      <c r="D41" s="128"/>
      <c r="E41" s="128"/>
      <c r="F41" s="128"/>
      <c r="G41" s="128"/>
      <c r="H41" s="128"/>
      <c r="I41" s="128"/>
      <c r="J41" s="128"/>
    </row>
    <row r="42" spans="2:11" ht="14.4" customHeight="1" x14ac:dyDescent="0.3">
      <c r="B42" s="15"/>
      <c r="C42" s="16"/>
      <c r="D42" s="118" t="s">
        <v>6</v>
      </c>
      <c r="E42" s="119"/>
      <c r="F42" s="119"/>
      <c r="G42" s="120"/>
      <c r="H42" s="121" t="s">
        <v>7</v>
      </c>
      <c r="I42" s="122"/>
      <c r="J42" s="4"/>
    </row>
    <row r="43" spans="2:11" x14ac:dyDescent="0.3">
      <c r="B43" s="13"/>
      <c r="C43" s="14"/>
      <c r="D43" s="125" t="s">
        <v>9</v>
      </c>
      <c r="E43" s="126"/>
      <c r="F43" s="126"/>
      <c r="G43" s="127"/>
      <c r="H43" s="123"/>
      <c r="I43" s="124"/>
      <c r="J43" s="4"/>
    </row>
    <row r="44" spans="2:11" ht="14.4" customHeight="1" x14ac:dyDescent="0.3">
      <c r="B44" s="132" t="s">
        <v>10</v>
      </c>
      <c r="C44" s="134" t="s">
        <v>11</v>
      </c>
      <c r="D44" s="62" t="s">
        <v>12</v>
      </c>
      <c r="E44" s="62" t="s">
        <v>13</v>
      </c>
      <c r="F44" s="62" t="s">
        <v>14</v>
      </c>
      <c r="G44" s="62" t="s">
        <v>15</v>
      </c>
      <c r="H44" s="136" t="s">
        <v>16</v>
      </c>
      <c r="I44" s="138" t="s">
        <v>17</v>
      </c>
      <c r="J44" s="20"/>
    </row>
    <row r="45" spans="2:11" ht="38.4" customHeight="1" x14ac:dyDescent="0.3">
      <c r="B45" s="133"/>
      <c r="C45" s="135"/>
      <c r="D45" s="145" t="s">
        <v>20</v>
      </c>
      <c r="E45" s="146"/>
      <c r="F45" s="146"/>
      <c r="G45" s="147"/>
      <c r="H45" s="137"/>
      <c r="I45" s="139"/>
      <c r="J45" s="20"/>
    </row>
    <row r="46" spans="2:11" x14ac:dyDescent="0.3">
      <c r="B46" s="42">
        <v>4</v>
      </c>
      <c r="C46" s="40" t="s">
        <v>21</v>
      </c>
      <c r="D46" s="21">
        <v>607068.43999999994</v>
      </c>
      <c r="E46" s="21">
        <v>0</v>
      </c>
      <c r="F46" s="45">
        <f>+D46+E46</f>
        <v>607068.43999999994</v>
      </c>
      <c r="G46" s="21">
        <f>+F46</f>
        <v>607068.43999999994</v>
      </c>
      <c r="H46" s="46">
        <f t="shared" ref="H46:H56" si="5">((G46-I46)/I46)*100</f>
        <v>339.17271214642255</v>
      </c>
      <c r="I46" s="21">
        <v>138230</v>
      </c>
      <c r="J46" s="22"/>
    </row>
    <row r="47" spans="2:11" x14ac:dyDescent="0.3">
      <c r="B47" s="42">
        <v>5</v>
      </c>
      <c r="C47" s="40" t="s">
        <v>22</v>
      </c>
      <c r="D47" s="26">
        <v>4089168.8</v>
      </c>
      <c r="E47" s="26">
        <v>0</v>
      </c>
      <c r="F47" s="49">
        <f>+E47+D47</f>
        <v>4089168.8</v>
      </c>
      <c r="G47" s="26">
        <f>+G46+F47</f>
        <v>4696237.24</v>
      </c>
      <c r="H47" s="50">
        <f t="shared" si="5"/>
        <v>147.87044415722741</v>
      </c>
      <c r="I47" s="26">
        <f>+I46+1756403.81</f>
        <v>1894633.81</v>
      </c>
      <c r="J47" s="22"/>
    </row>
    <row r="48" spans="2:11" x14ac:dyDescent="0.3">
      <c r="B48" s="42">
        <v>6</v>
      </c>
      <c r="C48" s="40" t="s">
        <v>23</v>
      </c>
      <c r="D48" s="26">
        <f>5584467.11-79989</f>
        <v>5504478.1100000003</v>
      </c>
      <c r="E48" s="26">
        <f>22759+57230</f>
        <v>79989</v>
      </c>
      <c r="F48" s="49">
        <f>+E48+D48</f>
        <v>5584467.1100000003</v>
      </c>
      <c r="G48" s="26">
        <f t="shared" ref="G48" si="6">+G47+F48</f>
        <v>10280704.350000001</v>
      </c>
      <c r="H48" s="50">
        <f t="shared" si="5"/>
        <v>197.89509806777991</v>
      </c>
      <c r="I48" s="26">
        <f>+I47+1556481.84</f>
        <v>3451115.6500000004</v>
      </c>
      <c r="J48" s="22"/>
    </row>
    <row r="49" spans="2:10" x14ac:dyDescent="0.3">
      <c r="B49" s="42">
        <v>7</v>
      </c>
      <c r="C49" s="40" t="s">
        <v>24</v>
      </c>
      <c r="D49" s="26">
        <v>2246964.02</v>
      </c>
      <c r="E49" s="26">
        <v>2731342</v>
      </c>
      <c r="F49" s="49">
        <f t="shared" ref="F49:F68" si="7">+E49+D49</f>
        <v>4978306.0199999996</v>
      </c>
      <c r="G49" s="26">
        <f>+G48+F49</f>
        <v>15259010.370000001</v>
      </c>
      <c r="H49" s="50">
        <f t="shared" si="5"/>
        <v>120.9948176844611</v>
      </c>
      <c r="I49" s="26">
        <f>+I48+3453575.84</f>
        <v>6904691.4900000002</v>
      </c>
      <c r="J49" s="22"/>
    </row>
    <row r="50" spans="2:10" x14ac:dyDescent="0.3">
      <c r="B50" s="42">
        <v>8</v>
      </c>
      <c r="C50" s="40" t="s">
        <v>25</v>
      </c>
      <c r="D50" s="26">
        <v>4496067.58</v>
      </c>
      <c r="E50" s="26">
        <v>0</v>
      </c>
      <c r="F50" s="49">
        <f t="shared" si="7"/>
        <v>4496067.58</v>
      </c>
      <c r="G50" s="26">
        <f t="shared" ref="G50:G56" si="8">+G49+F50</f>
        <v>19755077.950000003</v>
      </c>
      <c r="H50" s="50">
        <f t="shared" si="5"/>
        <v>75.44608122474969</v>
      </c>
      <c r="I50" s="26">
        <v>11259914.050000001</v>
      </c>
      <c r="J50" s="22"/>
    </row>
    <row r="51" spans="2:10" x14ac:dyDescent="0.3">
      <c r="B51" s="42">
        <v>9</v>
      </c>
      <c r="C51" s="40" t="s">
        <v>26</v>
      </c>
      <c r="D51" s="26">
        <v>3394425.52</v>
      </c>
      <c r="E51" s="26">
        <v>3035</v>
      </c>
      <c r="F51" s="49">
        <f t="shared" si="7"/>
        <v>3397460.52</v>
      </c>
      <c r="G51" s="26">
        <f t="shared" si="8"/>
        <v>23152538.470000003</v>
      </c>
      <c r="H51" s="50">
        <f t="shared" si="5"/>
        <v>48.811204713537236</v>
      </c>
      <c r="I51" s="26">
        <f>+I50+4298416.06</f>
        <v>15558330.109999999</v>
      </c>
      <c r="J51" s="22"/>
    </row>
    <row r="52" spans="2:10" x14ac:dyDescent="0.3">
      <c r="B52" s="42">
        <v>10</v>
      </c>
      <c r="C52" s="40" t="s">
        <v>67</v>
      </c>
      <c r="D52" s="26">
        <v>7103794.5199999996</v>
      </c>
      <c r="E52" s="26">
        <v>0</v>
      </c>
      <c r="F52" s="49">
        <f t="shared" si="7"/>
        <v>7103794.5199999996</v>
      </c>
      <c r="G52" s="26">
        <f t="shared" si="8"/>
        <v>30256332.990000002</v>
      </c>
      <c r="H52" s="50">
        <f t="shared" si="5"/>
        <v>41.04271522941022</v>
      </c>
      <c r="I52" s="26">
        <f>+I51+5893563.34</f>
        <v>21451893.449999999</v>
      </c>
      <c r="J52" s="22"/>
    </row>
    <row r="53" spans="2:10" x14ac:dyDescent="0.3">
      <c r="B53" s="42">
        <v>11</v>
      </c>
      <c r="C53" s="40" t="s">
        <v>68</v>
      </c>
      <c r="D53" s="26">
        <v>5533656.0199999996</v>
      </c>
      <c r="E53" s="26">
        <v>0</v>
      </c>
      <c r="F53" s="49">
        <f t="shared" si="7"/>
        <v>5533656.0199999996</v>
      </c>
      <c r="G53" s="26">
        <f t="shared" si="8"/>
        <v>35789989.010000005</v>
      </c>
      <c r="H53" s="50">
        <f t="shared" si="5"/>
        <v>37.989469265839197</v>
      </c>
      <c r="I53" s="26">
        <f>+I52+4484860.42</f>
        <v>25936753.869999997</v>
      </c>
      <c r="J53" s="22"/>
    </row>
    <row r="54" spans="2:10" x14ac:dyDescent="0.3">
      <c r="B54" s="42">
        <v>12</v>
      </c>
      <c r="C54" s="40" t="s">
        <v>83</v>
      </c>
      <c r="D54" s="26">
        <v>5066111.51</v>
      </c>
      <c r="E54" s="26">
        <v>0</v>
      </c>
      <c r="F54" s="49">
        <f t="shared" si="7"/>
        <v>5066111.51</v>
      </c>
      <c r="G54" s="26">
        <f t="shared" si="8"/>
        <v>40856100.520000003</v>
      </c>
      <c r="H54" s="50">
        <f t="shared" si="5"/>
        <v>32.514946958222268</v>
      </c>
      <c r="I54" s="26">
        <f>+I53+4894560.98</f>
        <v>30831314.849999998</v>
      </c>
      <c r="J54" s="22"/>
    </row>
    <row r="55" spans="2:10" x14ac:dyDescent="0.3">
      <c r="B55" s="42">
        <v>13</v>
      </c>
      <c r="C55" s="40" t="s">
        <v>69</v>
      </c>
      <c r="D55" s="26">
        <v>2617583.71</v>
      </c>
      <c r="E55" s="26">
        <v>-12755</v>
      </c>
      <c r="F55" s="49">
        <f t="shared" si="7"/>
        <v>2604828.71</v>
      </c>
      <c r="G55" s="26">
        <f t="shared" si="8"/>
        <v>43460929.230000004</v>
      </c>
      <c r="H55" s="50">
        <f t="shared" si="5"/>
        <v>27.344136193199354</v>
      </c>
      <c r="I55" s="26">
        <v>34128724.359999999</v>
      </c>
      <c r="J55" s="22"/>
    </row>
    <row r="56" spans="2:10" x14ac:dyDescent="0.3">
      <c r="B56" s="42">
        <v>14</v>
      </c>
      <c r="C56" s="86" t="s">
        <v>70</v>
      </c>
      <c r="D56" s="26">
        <v>952765.01</v>
      </c>
      <c r="E56" s="26">
        <v>0</v>
      </c>
      <c r="F56" s="49">
        <f t="shared" si="7"/>
        <v>952765.01</v>
      </c>
      <c r="G56" s="26">
        <f t="shared" si="8"/>
        <v>44413694.240000002</v>
      </c>
      <c r="H56" s="50">
        <f t="shared" si="5"/>
        <v>16.431479959379164</v>
      </c>
      <c r="I56" s="26">
        <f>+I55+4017053.96</f>
        <v>38145778.32</v>
      </c>
      <c r="J56" s="22"/>
    </row>
    <row r="57" spans="2:10" hidden="1" x14ac:dyDescent="0.3">
      <c r="B57" s="11">
        <v>15</v>
      </c>
      <c r="C57" s="17" t="s">
        <v>27</v>
      </c>
      <c r="D57" s="26"/>
      <c r="E57" s="26"/>
      <c r="F57" s="49">
        <f t="shared" si="7"/>
        <v>0</v>
      </c>
      <c r="G57" s="26">
        <f t="shared" ref="G57:G68" si="9">+G56+F57</f>
        <v>44413694.240000002</v>
      </c>
      <c r="H57" s="50">
        <v>0</v>
      </c>
      <c r="I57" s="26">
        <v>0</v>
      </c>
      <c r="J57" s="22"/>
    </row>
    <row r="58" spans="2:10" hidden="1" x14ac:dyDescent="0.3">
      <c r="B58" s="11">
        <v>16</v>
      </c>
      <c r="C58" s="17" t="s">
        <v>28</v>
      </c>
      <c r="D58" s="26"/>
      <c r="E58" s="26"/>
      <c r="F58" s="49">
        <f t="shared" si="7"/>
        <v>0</v>
      </c>
      <c r="G58" s="26">
        <f t="shared" si="9"/>
        <v>44413694.240000002</v>
      </c>
      <c r="H58" s="50">
        <v>0</v>
      </c>
      <c r="I58" s="26">
        <v>0</v>
      </c>
      <c r="J58" s="22"/>
    </row>
    <row r="59" spans="2:10" hidden="1" x14ac:dyDescent="0.3">
      <c r="B59" s="11">
        <v>17</v>
      </c>
      <c r="C59" s="17" t="s">
        <v>29</v>
      </c>
      <c r="D59" s="26"/>
      <c r="E59" s="26"/>
      <c r="F59" s="49">
        <f t="shared" si="7"/>
        <v>0</v>
      </c>
      <c r="G59" s="26">
        <f t="shared" si="9"/>
        <v>44413694.240000002</v>
      </c>
      <c r="H59" s="50">
        <v>0</v>
      </c>
      <c r="I59" s="26">
        <v>0</v>
      </c>
      <c r="J59" s="22"/>
    </row>
    <row r="60" spans="2:10" hidden="1" x14ac:dyDescent="0.3">
      <c r="B60" s="11">
        <v>18</v>
      </c>
      <c r="C60" s="17" t="s">
        <v>30</v>
      </c>
      <c r="D60" s="26"/>
      <c r="E60" s="26"/>
      <c r="F60" s="49">
        <f t="shared" si="7"/>
        <v>0</v>
      </c>
      <c r="G60" s="26">
        <f t="shared" si="9"/>
        <v>44413694.240000002</v>
      </c>
      <c r="H60" s="50">
        <v>0</v>
      </c>
      <c r="I60" s="26">
        <v>0</v>
      </c>
      <c r="J60" s="22"/>
    </row>
    <row r="61" spans="2:10" hidden="1" x14ac:dyDescent="0.3">
      <c r="B61" s="11">
        <v>19</v>
      </c>
      <c r="C61" s="17" t="s">
        <v>31</v>
      </c>
      <c r="D61" s="26"/>
      <c r="E61" s="26"/>
      <c r="F61" s="49">
        <f t="shared" si="7"/>
        <v>0</v>
      </c>
      <c r="G61" s="26">
        <f t="shared" si="9"/>
        <v>44413694.240000002</v>
      </c>
      <c r="H61" s="50">
        <v>0</v>
      </c>
      <c r="I61" s="26">
        <v>0</v>
      </c>
      <c r="J61" s="22"/>
    </row>
    <row r="62" spans="2:10" hidden="1" x14ac:dyDescent="0.3">
      <c r="B62" s="11">
        <v>20</v>
      </c>
      <c r="C62" s="17" t="s">
        <v>32</v>
      </c>
      <c r="D62" s="26"/>
      <c r="E62" s="26"/>
      <c r="F62" s="49">
        <f t="shared" si="7"/>
        <v>0</v>
      </c>
      <c r="G62" s="26">
        <f t="shared" si="9"/>
        <v>44413694.240000002</v>
      </c>
      <c r="H62" s="50">
        <v>0</v>
      </c>
      <c r="I62" s="26">
        <v>0</v>
      </c>
      <c r="J62" s="22"/>
    </row>
    <row r="63" spans="2:10" hidden="1" x14ac:dyDescent="0.3">
      <c r="B63" s="11">
        <v>21</v>
      </c>
      <c r="C63" s="17" t="s">
        <v>33</v>
      </c>
      <c r="D63" s="26"/>
      <c r="E63" s="26"/>
      <c r="F63" s="49">
        <f t="shared" si="7"/>
        <v>0</v>
      </c>
      <c r="G63" s="26">
        <f t="shared" si="9"/>
        <v>44413694.240000002</v>
      </c>
      <c r="H63" s="50">
        <v>0</v>
      </c>
      <c r="I63" s="26">
        <v>0</v>
      </c>
      <c r="J63" s="22"/>
    </row>
    <row r="64" spans="2:10" hidden="1" x14ac:dyDescent="0.3">
      <c r="B64" s="11">
        <v>22</v>
      </c>
      <c r="C64" s="17" t="s">
        <v>34</v>
      </c>
      <c r="D64" s="26"/>
      <c r="E64" s="26"/>
      <c r="F64" s="49">
        <f t="shared" si="7"/>
        <v>0</v>
      </c>
      <c r="G64" s="26">
        <f t="shared" si="9"/>
        <v>44413694.240000002</v>
      </c>
      <c r="H64" s="50">
        <v>0</v>
      </c>
      <c r="I64" s="26">
        <v>0</v>
      </c>
      <c r="J64" s="22"/>
    </row>
    <row r="65" spans="2:10" hidden="1" x14ac:dyDescent="0.3">
      <c r="B65" s="11">
        <v>23</v>
      </c>
      <c r="C65" s="17" t="s">
        <v>35</v>
      </c>
      <c r="D65" s="26"/>
      <c r="E65" s="26"/>
      <c r="F65" s="49">
        <f t="shared" si="7"/>
        <v>0</v>
      </c>
      <c r="G65" s="26">
        <f t="shared" si="9"/>
        <v>44413694.240000002</v>
      </c>
      <c r="H65" s="50">
        <v>0</v>
      </c>
      <c r="I65" s="26">
        <v>0</v>
      </c>
      <c r="J65" s="22"/>
    </row>
    <row r="66" spans="2:10" hidden="1" x14ac:dyDescent="0.3">
      <c r="B66" s="11">
        <v>24</v>
      </c>
      <c r="C66" s="17" t="s">
        <v>36</v>
      </c>
      <c r="D66" s="26"/>
      <c r="E66" s="26"/>
      <c r="F66" s="49">
        <f t="shared" si="7"/>
        <v>0</v>
      </c>
      <c r="G66" s="26">
        <f t="shared" si="9"/>
        <v>44413694.240000002</v>
      </c>
      <c r="H66" s="50">
        <v>0</v>
      </c>
      <c r="I66" s="26">
        <v>0</v>
      </c>
      <c r="J66" s="22"/>
    </row>
    <row r="67" spans="2:10" hidden="1" x14ac:dyDescent="0.3">
      <c r="B67" s="11">
        <v>25</v>
      </c>
      <c r="C67" s="18" t="s">
        <v>37</v>
      </c>
      <c r="D67" s="26"/>
      <c r="E67" s="26"/>
      <c r="F67" s="49">
        <f t="shared" si="7"/>
        <v>0</v>
      </c>
      <c r="G67" s="26">
        <f t="shared" si="9"/>
        <v>44413694.240000002</v>
      </c>
      <c r="H67" s="50">
        <v>0</v>
      </c>
      <c r="I67" s="26">
        <v>0</v>
      </c>
      <c r="J67" s="22"/>
    </row>
    <row r="68" spans="2:10" hidden="1" x14ac:dyDescent="0.3">
      <c r="B68" s="28">
        <v>26</v>
      </c>
      <c r="C68" s="29" t="s">
        <v>38</v>
      </c>
      <c r="D68" s="33"/>
      <c r="E68" s="33"/>
      <c r="F68" s="66">
        <f t="shared" si="7"/>
        <v>0</v>
      </c>
      <c r="G68" s="33">
        <f t="shared" si="9"/>
        <v>44413694.240000002</v>
      </c>
      <c r="H68" s="67">
        <v>0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6"/>
      <c r="I69" s="6"/>
      <c r="J69" s="5"/>
    </row>
    <row r="70" spans="2:10" x14ac:dyDescent="0.3">
      <c r="B70" s="8" t="s">
        <v>39</v>
      </c>
      <c r="C70" s="5"/>
      <c r="D70" s="6"/>
      <c r="E70" s="6"/>
      <c r="F70" s="6"/>
      <c r="G70" s="6"/>
      <c r="H70" s="6"/>
      <c r="I70" s="6"/>
      <c r="J70" s="5"/>
    </row>
    <row r="71" spans="2:10" x14ac:dyDescent="0.3">
      <c r="B71" s="9" t="s">
        <v>40</v>
      </c>
      <c r="C71" s="5"/>
      <c r="D71" s="6"/>
      <c r="E71" s="6"/>
      <c r="F71" s="6"/>
      <c r="G71" s="6"/>
      <c r="H71" s="6"/>
      <c r="I71" s="6"/>
      <c r="J71" s="5"/>
    </row>
    <row r="72" spans="2:10" x14ac:dyDescent="0.3">
      <c r="B72" s="9" t="s">
        <v>41</v>
      </c>
      <c r="C72" s="5"/>
      <c r="D72" s="6"/>
      <c r="E72" s="6"/>
      <c r="F72" s="6"/>
      <c r="G72" s="6"/>
      <c r="H72" s="6"/>
      <c r="I72" s="6"/>
      <c r="J72" s="5"/>
    </row>
    <row r="73" spans="2:10" x14ac:dyDescent="0.3">
      <c r="B73" s="9" t="s">
        <v>42</v>
      </c>
      <c r="C73" s="5"/>
      <c r="D73" s="6"/>
      <c r="E73" s="6"/>
      <c r="F73" s="6"/>
      <c r="G73" s="6"/>
      <c r="H73" s="6"/>
      <c r="I73" s="6"/>
      <c r="J73" s="5"/>
    </row>
    <row r="74" spans="2:10" x14ac:dyDescent="0.3">
      <c r="B74" s="10"/>
      <c r="C74" s="10"/>
      <c r="D74" s="44"/>
      <c r="E74" s="44"/>
      <c r="F74" s="44"/>
      <c r="G74" s="44"/>
      <c r="H74" s="44"/>
      <c r="I74" s="44"/>
      <c r="J74" s="10"/>
    </row>
    <row r="75" spans="2:10" x14ac:dyDescent="0.3">
      <c r="B75" s="10"/>
      <c r="C75" s="10"/>
      <c r="D75" s="44"/>
      <c r="E75" s="44"/>
      <c r="F75" s="44"/>
      <c r="G75" s="44"/>
      <c r="H75" s="44"/>
      <c r="I75" s="44"/>
      <c r="J75" s="10"/>
    </row>
    <row r="76" spans="2:10" ht="18" x14ac:dyDescent="0.35">
      <c r="B76" s="10"/>
      <c r="C76" s="10"/>
      <c r="D76" s="140" t="s">
        <v>45</v>
      </c>
      <c r="E76" s="140"/>
      <c r="F76" s="140"/>
      <c r="G76" s="140"/>
      <c r="H76" s="140"/>
      <c r="I76" s="140"/>
      <c r="J76" s="10"/>
    </row>
    <row r="77" spans="2:10" s="37" customFormat="1" ht="15.6" x14ac:dyDescent="0.3">
      <c r="B77" s="27"/>
      <c r="C77" s="27"/>
      <c r="D77" s="150" t="s">
        <v>47</v>
      </c>
      <c r="E77" s="150"/>
      <c r="F77" s="150"/>
      <c r="G77" s="150"/>
      <c r="H77" s="150"/>
      <c r="I77" s="150"/>
      <c r="J77" s="27"/>
    </row>
    <row r="78" spans="2:10" ht="15.9" customHeight="1" x14ac:dyDescent="0.3">
      <c r="B78" s="128" t="s">
        <v>84</v>
      </c>
      <c r="C78" s="128"/>
      <c r="D78" s="128"/>
      <c r="E78" s="128"/>
      <c r="F78" s="128"/>
      <c r="G78" s="128"/>
      <c r="H78" s="128"/>
      <c r="I78" s="128"/>
      <c r="J78" s="128"/>
    </row>
    <row r="79" spans="2:10" ht="14.4" customHeight="1" x14ac:dyDescent="0.3">
      <c r="B79" s="15"/>
      <c r="C79" s="16"/>
      <c r="D79" s="118" t="s">
        <v>6</v>
      </c>
      <c r="E79" s="119"/>
      <c r="F79" s="119"/>
      <c r="G79" s="120"/>
      <c r="H79" s="121" t="s">
        <v>7</v>
      </c>
      <c r="I79" s="122"/>
      <c r="J79" s="4"/>
    </row>
    <row r="80" spans="2:10" x14ac:dyDescent="0.3">
      <c r="B80" s="13"/>
      <c r="C80" s="14"/>
      <c r="D80" s="125" t="s">
        <v>9</v>
      </c>
      <c r="E80" s="126"/>
      <c r="F80" s="126"/>
      <c r="G80" s="127"/>
      <c r="H80" s="123"/>
      <c r="I80" s="124"/>
      <c r="J80" s="4"/>
    </row>
    <row r="81" spans="2:10" ht="14.4" customHeight="1" x14ac:dyDescent="0.3">
      <c r="B81" s="132" t="s">
        <v>10</v>
      </c>
      <c r="C81" s="134" t="s">
        <v>11</v>
      </c>
      <c r="D81" s="62" t="s">
        <v>12</v>
      </c>
      <c r="E81" s="62" t="s">
        <v>13</v>
      </c>
      <c r="F81" s="62" t="s">
        <v>14</v>
      </c>
      <c r="G81" s="62" t="s">
        <v>15</v>
      </c>
      <c r="H81" s="136" t="s">
        <v>16</v>
      </c>
      <c r="I81" s="138" t="s">
        <v>17</v>
      </c>
      <c r="J81" s="20"/>
    </row>
    <row r="82" spans="2:10" ht="37.65" customHeight="1" x14ac:dyDescent="0.3">
      <c r="B82" s="133"/>
      <c r="C82" s="135"/>
      <c r="D82" s="145" t="s">
        <v>20</v>
      </c>
      <c r="E82" s="146"/>
      <c r="F82" s="146"/>
      <c r="G82" s="147"/>
      <c r="H82" s="137"/>
      <c r="I82" s="139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e">
        <f t="shared" ref="H83:H93" si="10">((G83-I83)/I83)*100</f>
        <v>#DIV/0!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233713.08</v>
      </c>
      <c r="E84" s="26">
        <v>0</v>
      </c>
      <c r="F84" s="49">
        <f>+E84+D84</f>
        <v>233713.08</v>
      </c>
      <c r="G84" s="26">
        <f>+G83+F84</f>
        <v>233713.08</v>
      </c>
      <c r="H84" s="50">
        <f t="shared" si="10"/>
        <v>248.92668127488312</v>
      </c>
      <c r="I84" s="26">
        <v>66980.570000000007</v>
      </c>
      <c r="J84" s="22"/>
    </row>
    <row r="85" spans="2:10" x14ac:dyDescent="0.3">
      <c r="B85" s="42">
        <v>6</v>
      </c>
      <c r="C85" s="40" t="s">
        <v>23</v>
      </c>
      <c r="D85" s="26">
        <v>477400.58</v>
      </c>
      <c r="E85" s="26">
        <v>0</v>
      </c>
      <c r="F85" s="49">
        <f>+E85+D85</f>
        <v>477400.58</v>
      </c>
      <c r="G85" s="26">
        <f t="shared" ref="G85" si="11">+G84+F85</f>
        <v>711113.66</v>
      </c>
      <c r="H85" s="50">
        <f t="shared" si="10"/>
        <v>62.990274771891343</v>
      </c>
      <c r="I85" s="26">
        <f>+I84+369311.51</f>
        <v>436292.08</v>
      </c>
      <c r="J85" s="22"/>
    </row>
    <row r="86" spans="2:10" x14ac:dyDescent="0.3">
      <c r="B86" s="42">
        <v>7</v>
      </c>
      <c r="C86" s="40" t="s">
        <v>24</v>
      </c>
      <c r="D86" s="26">
        <v>195276.6</v>
      </c>
      <c r="E86" s="26">
        <v>447506</v>
      </c>
      <c r="F86" s="49">
        <f t="shared" ref="F86:F105" si="12">+E86+D86</f>
        <v>642782.6</v>
      </c>
      <c r="G86" s="26">
        <f>+G85+F86</f>
        <v>1353896.26</v>
      </c>
      <c r="H86" s="50">
        <f t="shared" si="10"/>
        <v>54.094443161932915</v>
      </c>
      <c r="I86" s="26">
        <f>+I85+442322.51</f>
        <v>878614.59000000008</v>
      </c>
      <c r="J86" s="22"/>
    </row>
    <row r="87" spans="2:10" x14ac:dyDescent="0.3">
      <c r="B87" s="42">
        <v>8</v>
      </c>
      <c r="C87" s="40" t="s">
        <v>25</v>
      </c>
      <c r="D87" s="26">
        <v>637410.01</v>
      </c>
      <c r="E87" s="26">
        <v>0</v>
      </c>
      <c r="F87" s="49">
        <f t="shared" si="12"/>
        <v>637410.01</v>
      </c>
      <c r="G87" s="26">
        <f t="shared" ref="G87:G88" si="13">+G86+F87</f>
        <v>1991306.27</v>
      </c>
      <c r="H87" s="50">
        <f t="shared" si="10"/>
        <v>1.9515345342059538</v>
      </c>
      <c r="I87" s="26">
        <v>1953189.11</v>
      </c>
      <c r="J87" s="22"/>
    </row>
    <row r="88" spans="2:10" x14ac:dyDescent="0.3">
      <c r="B88" s="42">
        <v>9</v>
      </c>
      <c r="C88" s="40" t="s">
        <v>26</v>
      </c>
      <c r="D88" s="26">
        <v>961223.61</v>
      </c>
      <c r="E88" s="26">
        <v>-3035</v>
      </c>
      <c r="F88" s="49">
        <f t="shared" si="12"/>
        <v>958188.61</v>
      </c>
      <c r="G88" s="26">
        <f t="shared" si="13"/>
        <v>2949494.88</v>
      </c>
      <c r="H88" s="50">
        <f t="shared" si="10"/>
        <v>10.513526543785867</v>
      </c>
      <c r="I88" s="26">
        <f>+I87+715710.32</f>
        <v>2668899.4300000002</v>
      </c>
      <c r="J88" s="22"/>
    </row>
    <row r="89" spans="2:10" x14ac:dyDescent="0.3">
      <c r="B89" s="42">
        <v>10</v>
      </c>
      <c r="C89" s="40" t="s">
        <v>67</v>
      </c>
      <c r="D89" s="26">
        <v>1483791.54</v>
      </c>
      <c r="E89" s="26">
        <v>0</v>
      </c>
      <c r="F89" s="49">
        <f>+E89+D89</f>
        <v>1483791.54</v>
      </c>
      <c r="G89" s="26">
        <f>+G88+F89</f>
        <v>4433286.42</v>
      </c>
      <c r="H89" s="50">
        <f t="shared" si="10"/>
        <v>15.222139872174056</v>
      </c>
      <c r="I89" s="26">
        <f>+I88+1178700.02</f>
        <v>3847599.45</v>
      </c>
      <c r="J89" s="22"/>
    </row>
    <row r="90" spans="2:10" x14ac:dyDescent="0.3">
      <c r="B90" s="42">
        <v>11</v>
      </c>
      <c r="C90" s="40" t="s">
        <v>68</v>
      </c>
      <c r="D90" s="26">
        <v>1604442.54</v>
      </c>
      <c r="E90" s="26">
        <v>0</v>
      </c>
      <c r="F90" s="49">
        <f t="shared" ref="F90:F93" si="14">+E90+D90</f>
        <v>1604442.54</v>
      </c>
      <c r="G90" s="26">
        <f>+G89+F90</f>
        <v>6037728.96</v>
      </c>
      <c r="H90" s="50">
        <f t="shared" si="10"/>
        <v>16.978615475089708</v>
      </c>
      <c r="I90" s="26">
        <f>+I89+1313796.02</f>
        <v>5161395.4700000007</v>
      </c>
      <c r="J90" s="22"/>
    </row>
    <row r="91" spans="2:10" x14ac:dyDescent="0.3">
      <c r="B91" s="42">
        <v>12</v>
      </c>
      <c r="C91" s="40" t="s">
        <v>83</v>
      </c>
      <c r="D91" s="26">
        <v>1840013.53</v>
      </c>
      <c r="E91" s="26">
        <v>0</v>
      </c>
      <c r="F91" s="49">
        <f t="shared" si="14"/>
        <v>1840013.53</v>
      </c>
      <c r="G91" s="26">
        <f t="shared" ref="G91:G93" si="15">+G90+F91</f>
        <v>7877742.4900000002</v>
      </c>
      <c r="H91" s="50">
        <f t="shared" si="10"/>
        <v>19.818703326300398</v>
      </c>
      <c r="I91" s="26">
        <f>+I90+1413323.06</f>
        <v>6574718.5300000012</v>
      </c>
      <c r="J91" s="22"/>
    </row>
    <row r="92" spans="2:10" x14ac:dyDescent="0.3">
      <c r="B92" s="42">
        <v>13</v>
      </c>
      <c r="C92" s="40" t="s">
        <v>69</v>
      </c>
      <c r="D92" s="26">
        <v>1540077.06</v>
      </c>
      <c r="E92" s="26">
        <v>12755</v>
      </c>
      <c r="F92" s="49">
        <f t="shared" si="14"/>
        <v>1552832.06</v>
      </c>
      <c r="G92" s="26">
        <f t="shared" si="15"/>
        <v>9430574.5500000007</v>
      </c>
      <c r="H92" s="50">
        <f t="shared" si="10"/>
        <v>27.816979832914303</v>
      </c>
      <c r="I92" s="26">
        <v>7378186.0300000003</v>
      </c>
      <c r="J92" s="22"/>
    </row>
    <row r="93" spans="2:10" x14ac:dyDescent="0.3">
      <c r="B93" s="42">
        <v>14</v>
      </c>
      <c r="C93" s="86" t="s">
        <v>70</v>
      </c>
      <c r="D93" s="26">
        <v>278079.51</v>
      </c>
      <c r="E93" s="26">
        <v>0</v>
      </c>
      <c r="F93" s="49">
        <f t="shared" si="14"/>
        <v>278079.51</v>
      </c>
      <c r="G93" s="26">
        <f t="shared" si="15"/>
        <v>9708654.0600000005</v>
      </c>
      <c r="H93" s="50">
        <f t="shared" si="10"/>
        <v>23.209060294541977</v>
      </c>
      <c r="I93" s="26">
        <f>+I92+501635.5</f>
        <v>7879821.5300000003</v>
      </c>
      <c r="J93" s="22"/>
    </row>
    <row r="94" spans="2:10" hidden="1" x14ac:dyDescent="0.3">
      <c r="B94" s="11">
        <v>15</v>
      </c>
      <c r="C94" s="17" t="s">
        <v>27</v>
      </c>
      <c r="D94" s="26"/>
      <c r="E94" s="26"/>
      <c r="F94" s="49">
        <f t="shared" si="12"/>
        <v>0</v>
      </c>
      <c r="G94" s="26">
        <f t="shared" ref="G94:G105" si="16">+G93+F94</f>
        <v>9708654.0600000005</v>
      </c>
      <c r="H94" s="50">
        <v>0</v>
      </c>
      <c r="I94" s="26">
        <v>0</v>
      </c>
      <c r="J94" s="22"/>
    </row>
    <row r="95" spans="2:10" hidden="1" x14ac:dyDescent="0.3">
      <c r="B95" s="11">
        <v>16</v>
      </c>
      <c r="C95" s="17" t="s">
        <v>28</v>
      </c>
      <c r="D95" s="26"/>
      <c r="E95" s="26"/>
      <c r="F95" s="49">
        <f t="shared" si="12"/>
        <v>0</v>
      </c>
      <c r="G95" s="26">
        <f t="shared" si="16"/>
        <v>9708654.0600000005</v>
      </c>
      <c r="H95" s="50">
        <v>0</v>
      </c>
      <c r="I95" s="26">
        <v>0</v>
      </c>
      <c r="J95" s="22"/>
    </row>
    <row r="96" spans="2:10" hidden="1" x14ac:dyDescent="0.3">
      <c r="B96" s="11">
        <v>17</v>
      </c>
      <c r="C96" s="17" t="s">
        <v>29</v>
      </c>
      <c r="D96" s="26"/>
      <c r="E96" s="26"/>
      <c r="F96" s="49">
        <f t="shared" si="12"/>
        <v>0</v>
      </c>
      <c r="G96" s="26">
        <f t="shared" si="16"/>
        <v>9708654.0600000005</v>
      </c>
      <c r="H96" s="50">
        <v>0</v>
      </c>
      <c r="I96" s="26">
        <v>0</v>
      </c>
      <c r="J96" s="22"/>
    </row>
    <row r="97" spans="2:10" hidden="1" x14ac:dyDescent="0.3">
      <c r="B97" s="11">
        <v>18</v>
      </c>
      <c r="C97" s="17" t="s">
        <v>30</v>
      </c>
      <c r="D97" s="26"/>
      <c r="E97" s="26"/>
      <c r="F97" s="49">
        <f t="shared" si="12"/>
        <v>0</v>
      </c>
      <c r="G97" s="26">
        <f t="shared" si="16"/>
        <v>9708654.0600000005</v>
      </c>
      <c r="H97" s="50">
        <v>0</v>
      </c>
      <c r="I97" s="26">
        <v>0</v>
      </c>
      <c r="J97" s="22"/>
    </row>
    <row r="98" spans="2:10" hidden="1" x14ac:dyDescent="0.3">
      <c r="B98" s="11">
        <v>19</v>
      </c>
      <c r="C98" s="17" t="s">
        <v>31</v>
      </c>
      <c r="D98" s="26"/>
      <c r="E98" s="26"/>
      <c r="F98" s="49">
        <f t="shared" si="12"/>
        <v>0</v>
      </c>
      <c r="G98" s="26">
        <f t="shared" si="16"/>
        <v>9708654.0600000005</v>
      </c>
      <c r="H98" s="50">
        <v>0</v>
      </c>
      <c r="I98" s="26">
        <v>0</v>
      </c>
      <c r="J98" s="22"/>
    </row>
    <row r="99" spans="2:10" hidden="1" x14ac:dyDescent="0.3">
      <c r="B99" s="11">
        <v>20</v>
      </c>
      <c r="C99" s="17" t="s">
        <v>32</v>
      </c>
      <c r="D99" s="26"/>
      <c r="E99" s="26"/>
      <c r="F99" s="49">
        <f t="shared" si="12"/>
        <v>0</v>
      </c>
      <c r="G99" s="26">
        <f t="shared" si="16"/>
        <v>9708654.0600000005</v>
      </c>
      <c r="H99" s="50">
        <v>0</v>
      </c>
      <c r="I99" s="26">
        <v>0</v>
      </c>
      <c r="J99" s="22"/>
    </row>
    <row r="100" spans="2:10" hidden="1" x14ac:dyDescent="0.3">
      <c r="B100" s="11">
        <v>21</v>
      </c>
      <c r="C100" s="17" t="s">
        <v>33</v>
      </c>
      <c r="D100" s="26"/>
      <c r="E100" s="26"/>
      <c r="F100" s="49">
        <f t="shared" si="12"/>
        <v>0</v>
      </c>
      <c r="G100" s="26">
        <f t="shared" si="16"/>
        <v>9708654.0600000005</v>
      </c>
      <c r="H100" s="50">
        <v>0</v>
      </c>
      <c r="I100" s="26">
        <v>0</v>
      </c>
      <c r="J100" s="22"/>
    </row>
    <row r="101" spans="2:10" hidden="1" x14ac:dyDescent="0.3">
      <c r="B101" s="11">
        <v>22</v>
      </c>
      <c r="C101" s="17" t="s">
        <v>34</v>
      </c>
      <c r="D101" s="26"/>
      <c r="E101" s="26"/>
      <c r="F101" s="49">
        <f t="shared" si="12"/>
        <v>0</v>
      </c>
      <c r="G101" s="26">
        <f t="shared" si="16"/>
        <v>9708654.0600000005</v>
      </c>
      <c r="H101" s="50">
        <v>0</v>
      </c>
      <c r="I101" s="26">
        <v>0</v>
      </c>
      <c r="J101" s="22"/>
    </row>
    <row r="102" spans="2:10" hidden="1" x14ac:dyDescent="0.3">
      <c r="B102" s="11">
        <v>23</v>
      </c>
      <c r="C102" s="17" t="s">
        <v>35</v>
      </c>
      <c r="D102" s="26"/>
      <c r="E102" s="26"/>
      <c r="F102" s="49">
        <f t="shared" si="12"/>
        <v>0</v>
      </c>
      <c r="G102" s="26">
        <f t="shared" si="16"/>
        <v>9708654.0600000005</v>
      </c>
      <c r="H102" s="50">
        <v>0</v>
      </c>
      <c r="I102" s="26">
        <v>0</v>
      </c>
      <c r="J102" s="22"/>
    </row>
    <row r="103" spans="2:10" hidden="1" x14ac:dyDescent="0.3">
      <c r="B103" s="11">
        <v>24</v>
      </c>
      <c r="C103" s="17" t="s">
        <v>36</v>
      </c>
      <c r="D103" s="26"/>
      <c r="E103" s="26"/>
      <c r="F103" s="49">
        <f t="shared" si="12"/>
        <v>0</v>
      </c>
      <c r="G103" s="26">
        <f t="shared" si="16"/>
        <v>9708654.0600000005</v>
      </c>
      <c r="H103" s="50">
        <v>0</v>
      </c>
      <c r="I103" s="26">
        <v>0</v>
      </c>
      <c r="J103" s="22"/>
    </row>
    <row r="104" spans="2:10" hidden="1" x14ac:dyDescent="0.3">
      <c r="B104" s="11">
        <v>25</v>
      </c>
      <c r="C104" s="18" t="s">
        <v>37</v>
      </c>
      <c r="D104" s="26"/>
      <c r="E104" s="26"/>
      <c r="F104" s="49">
        <f t="shared" si="12"/>
        <v>0</v>
      </c>
      <c r="G104" s="26">
        <f t="shared" si="16"/>
        <v>9708654.0600000005</v>
      </c>
      <c r="H104" s="50">
        <v>0</v>
      </c>
      <c r="I104" s="26">
        <v>0</v>
      </c>
      <c r="J104" s="22"/>
    </row>
    <row r="105" spans="2:10" hidden="1" x14ac:dyDescent="0.3">
      <c r="B105" s="28">
        <v>26</v>
      </c>
      <c r="C105" s="29" t="s">
        <v>38</v>
      </c>
      <c r="D105" s="33"/>
      <c r="E105" s="33"/>
      <c r="F105" s="66">
        <f t="shared" si="12"/>
        <v>0</v>
      </c>
      <c r="G105" s="33">
        <f t="shared" si="16"/>
        <v>9708654.0600000005</v>
      </c>
      <c r="H105" s="67">
        <v>0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6"/>
      <c r="I106" s="6"/>
      <c r="J106" s="5"/>
    </row>
    <row r="107" spans="2:10" x14ac:dyDescent="0.3">
      <c r="B107" s="8" t="s">
        <v>39</v>
      </c>
      <c r="C107" s="5"/>
      <c r="D107" s="6"/>
      <c r="E107" s="6"/>
      <c r="F107" s="6"/>
      <c r="G107" s="6"/>
      <c r="H107" s="6"/>
      <c r="I107" s="6"/>
      <c r="J107" s="5"/>
    </row>
    <row r="108" spans="2:10" x14ac:dyDescent="0.3">
      <c r="B108" s="9" t="s">
        <v>40</v>
      </c>
      <c r="C108" s="5"/>
      <c r="D108" s="6"/>
      <c r="E108" s="6"/>
      <c r="F108" s="6"/>
      <c r="G108" s="6"/>
      <c r="H108" s="6"/>
      <c r="I108" s="6"/>
      <c r="J108" s="5"/>
    </row>
    <row r="109" spans="2:10" x14ac:dyDescent="0.3">
      <c r="B109" s="9" t="s">
        <v>41</v>
      </c>
      <c r="C109" s="5"/>
      <c r="D109" s="6"/>
      <c r="E109" s="6"/>
      <c r="F109" s="6"/>
      <c r="G109" s="6"/>
      <c r="H109" s="6"/>
      <c r="I109" s="6"/>
      <c r="J109" s="5"/>
    </row>
    <row r="110" spans="2:10" x14ac:dyDescent="0.3">
      <c r="B110" s="9" t="s">
        <v>42</v>
      </c>
      <c r="C110" s="5"/>
      <c r="D110" s="6"/>
      <c r="E110" s="6"/>
      <c r="F110" s="6"/>
      <c r="G110" s="6"/>
      <c r="H110" s="6"/>
      <c r="I110" s="6"/>
      <c r="J110" s="5"/>
    </row>
    <row r="113" spans="2:10" ht="18" x14ac:dyDescent="0.35">
      <c r="B113" s="10"/>
      <c r="C113" s="10"/>
      <c r="D113" s="142" t="s">
        <v>46</v>
      </c>
      <c r="E113" s="142"/>
      <c r="F113" s="142"/>
      <c r="G113" s="142"/>
      <c r="H113" s="142"/>
      <c r="I113" s="142"/>
      <c r="J113" s="10"/>
    </row>
    <row r="114" spans="2:10" s="37" customFormat="1" ht="15.6" x14ac:dyDescent="0.3">
      <c r="B114" s="27"/>
      <c r="C114" s="27"/>
      <c r="D114" s="149" t="s">
        <v>47</v>
      </c>
      <c r="E114" s="149"/>
      <c r="F114" s="149"/>
      <c r="G114" s="149"/>
      <c r="H114" s="149"/>
      <c r="I114" s="149"/>
      <c r="J114" s="27"/>
    </row>
    <row r="115" spans="2:10" ht="15.9" customHeight="1" x14ac:dyDescent="0.3">
      <c r="B115" s="128" t="s">
        <v>84</v>
      </c>
      <c r="C115" s="128"/>
      <c r="D115" s="128"/>
      <c r="E115" s="128"/>
      <c r="F115" s="128"/>
      <c r="G115" s="128"/>
      <c r="H115" s="128"/>
      <c r="I115" s="128"/>
      <c r="J115" s="128"/>
    </row>
    <row r="116" spans="2:10" ht="14.4" customHeight="1" x14ac:dyDescent="0.3">
      <c r="B116" s="15"/>
      <c r="C116" s="16"/>
      <c r="D116" s="118" t="s">
        <v>6</v>
      </c>
      <c r="E116" s="119"/>
      <c r="F116" s="119"/>
      <c r="G116" s="120"/>
      <c r="H116" s="121" t="s">
        <v>7</v>
      </c>
      <c r="I116" s="122"/>
      <c r="J116" s="4"/>
    </row>
    <row r="117" spans="2:10" x14ac:dyDescent="0.3">
      <c r="B117" s="13"/>
      <c r="C117" s="14"/>
      <c r="D117" s="125" t="s">
        <v>9</v>
      </c>
      <c r="E117" s="126"/>
      <c r="F117" s="126"/>
      <c r="G117" s="127"/>
      <c r="H117" s="123"/>
      <c r="I117" s="124"/>
      <c r="J117" s="4"/>
    </row>
    <row r="118" spans="2:10" ht="14.4" customHeight="1" x14ac:dyDescent="0.3">
      <c r="B118" s="132" t="s">
        <v>10</v>
      </c>
      <c r="C118" s="134" t="s">
        <v>11</v>
      </c>
      <c r="D118" s="62" t="s">
        <v>12</v>
      </c>
      <c r="E118" s="62" t="s">
        <v>13</v>
      </c>
      <c r="F118" s="62" t="s">
        <v>14</v>
      </c>
      <c r="G118" s="62" t="s">
        <v>15</v>
      </c>
      <c r="H118" s="136" t="s">
        <v>16</v>
      </c>
      <c r="I118" s="138" t="s">
        <v>17</v>
      </c>
      <c r="J118" s="20"/>
    </row>
    <row r="119" spans="2:10" ht="37.35" customHeight="1" x14ac:dyDescent="0.3">
      <c r="B119" s="133"/>
      <c r="C119" s="135"/>
      <c r="D119" s="145" t="s">
        <v>20</v>
      </c>
      <c r="E119" s="146"/>
      <c r="F119" s="146"/>
      <c r="G119" s="147"/>
      <c r="H119" s="137"/>
      <c r="I119" s="139"/>
      <c r="J119" s="20"/>
    </row>
    <row r="120" spans="2:10" x14ac:dyDescent="0.3">
      <c r="B120" s="42">
        <v>4</v>
      </c>
      <c r="C120" s="40" t="s">
        <v>21</v>
      </c>
      <c r="D120" s="21">
        <v>89849</v>
      </c>
      <c r="E120" s="21">
        <v>0</v>
      </c>
      <c r="F120" s="45">
        <f>+D120+E120</f>
        <v>89849</v>
      </c>
      <c r="G120" s="21">
        <f>+F120</f>
        <v>89849</v>
      </c>
      <c r="H120" s="46" t="e">
        <f t="shared" ref="H120:H130" si="17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59869.54</v>
      </c>
      <c r="E121" s="26">
        <v>0</v>
      </c>
      <c r="F121" s="49">
        <f>+E121+D121</f>
        <v>59869.54</v>
      </c>
      <c r="G121" s="26">
        <f>+G120+F121</f>
        <v>149718.54</v>
      </c>
      <c r="H121" s="50">
        <f t="shared" si="17"/>
        <v>-40.756140566013876</v>
      </c>
      <c r="I121" s="26">
        <v>252715.71</v>
      </c>
      <c r="J121" s="22"/>
    </row>
    <row r="122" spans="2:10" x14ac:dyDescent="0.3">
      <c r="B122" s="42">
        <v>6</v>
      </c>
      <c r="C122" s="40" t="s">
        <v>23</v>
      </c>
      <c r="D122" s="26">
        <v>93676.6</v>
      </c>
      <c r="E122" s="26">
        <v>0</v>
      </c>
      <c r="F122" s="49">
        <f>+E122+D122</f>
        <v>93676.6</v>
      </c>
      <c r="G122" s="26">
        <f t="shared" ref="G122" si="18">+G121+F122</f>
        <v>243395.14</v>
      </c>
      <c r="H122" s="50">
        <f t="shared" si="17"/>
        <v>-32.814500388822445</v>
      </c>
      <c r="I122" s="26">
        <f>+I121+109557.61</f>
        <v>362273.32</v>
      </c>
      <c r="J122" s="22"/>
    </row>
    <row r="123" spans="2:10" x14ac:dyDescent="0.3">
      <c r="B123" s="42">
        <v>7</v>
      </c>
      <c r="C123" s="40" t="s">
        <v>24</v>
      </c>
      <c r="D123" s="26">
        <v>24532.03</v>
      </c>
      <c r="E123" s="26">
        <v>0</v>
      </c>
      <c r="F123" s="49">
        <f t="shared" ref="F123:F142" si="19">+E123+D123</f>
        <v>24532.03</v>
      </c>
      <c r="G123" s="26">
        <f>+G122+F123</f>
        <v>267927.17000000004</v>
      </c>
      <c r="H123" s="50">
        <f t="shared" si="17"/>
        <v>-39.581112485989365</v>
      </c>
      <c r="I123" s="26">
        <f>+I122+81176.04</f>
        <v>443449.36</v>
      </c>
      <c r="J123" s="22"/>
    </row>
    <row r="124" spans="2:10" x14ac:dyDescent="0.3">
      <c r="B124" s="42">
        <v>8</v>
      </c>
      <c r="C124" s="40" t="s">
        <v>25</v>
      </c>
      <c r="D124" s="26">
        <v>85676.17</v>
      </c>
      <c r="E124" s="26">
        <v>0</v>
      </c>
      <c r="F124" s="49">
        <f t="shared" si="19"/>
        <v>85676.17</v>
      </c>
      <c r="G124" s="26">
        <f t="shared" ref="G124:G130" si="20">+G123+F124</f>
        <v>353603.34</v>
      </c>
      <c r="H124" s="50">
        <f t="shared" si="17"/>
        <v>-24.692405136806901</v>
      </c>
      <c r="I124" s="26">
        <v>469545.39</v>
      </c>
      <c r="J124" s="22"/>
    </row>
    <row r="125" spans="2:10" x14ac:dyDescent="0.3">
      <c r="B125" s="42">
        <v>9</v>
      </c>
      <c r="C125" s="40" t="s">
        <v>26</v>
      </c>
      <c r="D125" s="26">
        <v>96785.02</v>
      </c>
      <c r="E125" s="26">
        <v>0</v>
      </c>
      <c r="F125" s="49">
        <f t="shared" si="19"/>
        <v>96785.02</v>
      </c>
      <c r="G125" s="26">
        <f t="shared" si="20"/>
        <v>450388.36000000004</v>
      </c>
      <c r="H125" s="50">
        <f t="shared" si="17"/>
        <v>-22.177898802182543</v>
      </c>
      <c r="I125" s="26">
        <f>+I124+109195.55</f>
        <v>578740.94000000006</v>
      </c>
      <c r="J125" s="22"/>
    </row>
    <row r="126" spans="2:10" x14ac:dyDescent="0.3">
      <c r="B126" s="42">
        <v>10</v>
      </c>
      <c r="C126" s="40" t="s">
        <v>67</v>
      </c>
      <c r="D126" s="26">
        <v>24952.55</v>
      </c>
      <c r="E126" s="26">
        <v>0</v>
      </c>
      <c r="F126" s="49">
        <f t="shared" si="19"/>
        <v>24952.55</v>
      </c>
      <c r="G126" s="26">
        <f t="shared" si="20"/>
        <v>475340.91000000003</v>
      </c>
      <c r="H126" s="50">
        <f t="shared" si="17"/>
        <v>-24.232942498438092</v>
      </c>
      <c r="I126" s="26">
        <f>+I125+48630.54</f>
        <v>627371.4800000001</v>
      </c>
      <c r="J126" s="22"/>
    </row>
    <row r="127" spans="2:10" x14ac:dyDescent="0.3">
      <c r="B127" s="42">
        <v>11</v>
      </c>
      <c r="C127" s="40" t="s">
        <v>68</v>
      </c>
      <c r="D127" s="26">
        <v>46737.04</v>
      </c>
      <c r="E127" s="26">
        <v>0</v>
      </c>
      <c r="F127" s="49">
        <f t="shared" si="19"/>
        <v>46737.04</v>
      </c>
      <c r="G127" s="26">
        <f t="shared" si="20"/>
        <v>522077.95</v>
      </c>
      <c r="H127" s="50">
        <f t="shared" si="17"/>
        <v>-17.058467178914629</v>
      </c>
      <c r="I127" s="26">
        <f>+I126+2081.5</f>
        <v>629452.9800000001</v>
      </c>
      <c r="J127" s="22"/>
    </row>
    <row r="128" spans="2:10" x14ac:dyDescent="0.3">
      <c r="B128" s="42">
        <v>12</v>
      </c>
      <c r="C128" s="40" t="s">
        <v>83</v>
      </c>
      <c r="D128" s="26">
        <v>16644.5</v>
      </c>
      <c r="E128" s="26">
        <v>0</v>
      </c>
      <c r="F128" s="49">
        <f t="shared" si="19"/>
        <v>16644.5</v>
      </c>
      <c r="G128" s="26">
        <f t="shared" si="20"/>
        <v>538722.44999999995</v>
      </c>
      <c r="H128" s="50">
        <f t="shared" si="17"/>
        <v>-20.479195983851611</v>
      </c>
      <c r="I128" s="26">
        <f>+I127+48008.04</f>
        <v>677461.02000000014</v>
      </c>
      <c r="J128" s="22"/>
    </row>
    <row r="129" spans="2:10" x14ac:dyDescent="0.3">
      <c r="B129" s="42">
        <v>13</v>
      </c>
      <c r="C129" s="40" t="s">
        <v>69</v>
      </c>
      <c r="D129" s="26">
        <v>8598.4500000000007</v>
      </c>
      <c r="E129" s="26">
        <v>0</v>
      </c>
      <c r="F129" s="49">
        <f t="shared" si="19"/>
        <v>8598.4500000000007</v>
      </c>
      <c r="G129" s="26">
        <f t="shared" si="20"/>
        <v>547320.89999999991</v>
      </c>
      <c r="H129" s="50">
        <f t="shared" si="17"/>
        <v>-19.209979047945829</v>
      </c>
      <c r="I129" s="26">
        <v>677461.02</v>
      </c>
      <c r="J129" s="22"/>
    </row>
    <row r="130" spans="2:10" x14ac:dyDescent="0.3">
      <c r="B130" s="42">
        <v>14</v>
      </c>
      <c r="C130" s="86" t="s">
        <v>70</v>
      </c>
      <c r="D130" s="26">
        <v>18801.509999999998</v>
      </c>
      <c r="E130" s="26">
        <v>0</v>
      </c>
      <c r="F130" s="49">
        <f t="shared" si="19"/>
        <v>18801.509999999998</v>
      </c>
      <c r="G130" s="26">
        <f t="shared" si="20"/>
        <v>566122.40999999992</v>
      </c>
      <c r="H130" s="50">
        <f t="shared" si="17"/>
        <v>-16.434688744158311</v>
      </c>
      <c r="I130" s="26">
        <f>+I129+0</f>
        <v>677461.02</v>
      </c>
      <c r="J130" s="22"/>
    </row>
    <row r="131" spans="2:10" hidden="1" x14ac:dyDescent="0.3">
      <c r="B131" s="11">
        <v>15</v>
      </c>
      <c r="C131" s="17" t="s">
        <v>27</v>
      </c>
      <c r="D131" s="26"/>
      <c r="E131" s="26"/>
      <c r="F131" s="49">
        <f t="shared" si="19"/>
        <v>0</v>
      </c>
      <c r="G131" s="26">
        <f t="shared" ref="G131:G142" si="21">+G130+F131</f>
        <v>566122.40999999992</v>
      </c>
      <c r="H131" s="50">
        <v>0</v>
      </c>
      <c r="I131" s="26">
        <v>0</v>
      </c>
      <c r="J131" s="22"/>
    </row>
    <row r="132" spans="2:10" hidden="1" x14ac:dyDescent="0.3">
      <c r="B132" s="11">
        <v>16</v>
      </c>
      <c r="C132" s="17" t="s">
        <v>28</v>
      </c>
      <c r="D132" s="26"/>
      <c r="E132" s="26"/>
      <c r="F132" s="49">
        <f t="shared" si="19"/>
        <v>0</v>
      </c>
      <c r="G132" s="26">
        <f t="shared" si="21"/>
        <v>566122.40999999992</v>
      </c>
      <c r="H132" s="50">
        <v>0</v>
      </c>
      <c r="I132" s="26">
        <v>0</v>
      </c>
      <c r="J132" s="22"/>
    </row>
    <row r="133" spans="2:10" hidden="1" x14ac:dyDescent="0.3">
      <c r="B133" s="11">
        <v>17</v>
      </c>
      <c r="C133" s="17" t="s">
        <v>29</v>
      </c>
      <c r="D133" s="26"/>
      <c r="E133" s="26"/>
      <c r="F133" s="49">
        <f t="shared" si="19"/>
        <v>0</v>
      </c>
      <c r="G133" s="26">
        <f t="shared" si="21"/>
        <v>566122.40999999992</v>
      </c>
      <c r="H133" s="50">
        <v>0</v>
      </c>
      <c r="I133" s="26">
        <v>0</v>
      </c>
      <c r="J133" s="22"/>
    </row>
    <row r="134" spans="2:10" hidden="1" x14ac:dyDescent="0.3">
      <c r="B134" s="11">
        <v>18</v>
      </c>
      <c r="C134" s="17" t="s">
        <v>30</v>
      </c>
      <c r="D134" s="26"/>
      <c r="E134" s="26"/>
      <c r="F134" s="49">
        <f t="shared" si="19"/>
        <v>0</v>
      </c>
      <c r="G134" s="26">
        <f t="shared" si="21"/>
        <v>566122.40999999992</v>
      </c>
      <c r="H134" s="50">
        <v>0</v>
      </c>
      <c r="I134" s="26">
        <v>0</v>
      </c>
      <c r="J134" s="22"/>
    </row>
    <row r="135" spans="2:10" hidden="1" x14ac:dyDescent="0.3">
      <c r="B135" s="11">
        <v>19</v>
      </c>
      <c r="C135" s="17" t="s">
        <v>31</v>
      </c>
      <c r="D135" s="26"/>
      <c r="E135" s="26"/>
      <c r="F135" s="49">
        <f t="shared" si="19"/>
        <v>0</v>
      </c>
      <c r="G135" s="26">
        <f t="shared" si="21"/>
        <v>566122.40999999992</v>
      </c>
      <c r="H135" s="50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32</v>
      </c>
      <c r="D136" s="26"/>
      <c r="E136" s="26"/>
      <c r="F136" s="49">
        <f t="shared" si="19"/>
        <v>0</v>
      </c>
      <c r="G136" s="26">
        <f t="shared" si="21"/>
        <v>566122.40999999992</v>
      </c>
      <c r="H136" s="50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33</v>
      </c>
      <c r="D137" s="26"/>
      <c r="E137" s="26"/>
      <c r="F137" s="49">
        <f t="shared" si="19"/>
        <v>0</v>
      </c>
      <c r="G137" s="26">
        <f t="shared" si="21"/>
        <v>566122.40999999992</v>
      </c>
      <c r="H137" s="50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34</v>
      </c>
      <c r="D138" s="26"/>
      <c r="E138" s="26"/>
      <c r="F138" s="49">
        <f t="shared" si="19"/>
        <v>0</v>
      </c>
      <c r="G138" s="26">
        <f t="shared" si="21"/>
        <v>566122.40999999992</v>
      </c>
      <c r="H138" s="50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35</v>
      </c>
      <c r="D139" s="26"/>
      <c r="E139" s="26"/>
      <c r="F139" s="49">
        <f t="shared" si="19"/>
        <v>0</v>
      </c>
      <c r="G139" s="26">
        <f t="shared" si="21"/>
        <v>566122.40999999992</v>
      </c>
      <c r="H139" s="50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36</v>
      </c>
      <c r="D140" s="26"/>
      <c r="E140" s="26"/>
      <c r="F140" s="49">
        <f t="shared" si="19"/>
        <v>0</v>
      </c>
      <c r="G140" s="26">
        <f t="shared" si="21"/>
        <v>566122.40999999992</v>
      </c>
      <c r="H140" s="50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37</v>
      </c>
      <c r="D141" s="26"/>
      <c r="E141" s="26"/>
      <c r="F141" s="49">
        <f t="shared" si="19"/>
        <v>0</v>
      </c>
      <c r="G141" s="26">
        <f t="shared" si="21"/>
        <v>566122.40999999992</v>
      </c>
      <c r="H141" s="50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38</v>
      </c>
      <c r="D142" s="33"/>
      <c r="E142" s="33"/>
      <c r="F142" s="66">
        <f t="shared" si="19"/>
        <v>0</v>
      </c>
      <c r="G142" s="33">
        <f t="shared" si="21"/>
        <v>566122.40999999992</v>
      </c>
      <c r="H142" s="67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6"/>
      <c r="I143" s="6"/>
      <c r="J143" s="5"/>
    </row>
    <row r="144" spans="2:10" x14ac:dyDescent="0.3">
      <c r="B144" s="8" t="s">
        <v>39</v>
      </c>
      <c r="C144" s="5"/>
      <c r="D144" s="6"/>
      <c r="E144" s="6"/>
      <c r="F144" s="6"/>
      <c r="G144" s="6"/>
      <c r="H144" s="6"/>
      <c r="I144" s="6"/>
      <c r="J144" s="5"/>
    </row>
    <row r="145" spans="2:10" x14ac:dyDescent="0.3">
      <c r="B145" s="9" t="s">
        <v>40</v>
      </c>
      <c r="C145" s="5"/>
      <c r="D145" s="6"/>
      <c r="E145" s="6"/>
      <c r="F145" s="6"/>
      <c r="G145" s="6"/>
      <c r="H145" s="6"/>
      <c r="I145" s="6"/>
      <c r="J145" s="5"/>
    </row>
    <row r="146" spans="2:10" x14ac:dyDescent="0.3">
      <c r="B146" s="9" t="s">
        <v>41</v>
      </c>
      <c r="C146" s="5"/>
      <c r="D146" s="6"/>
      <c r="E146" s="6"/>
      <c r="F146" s="6"/>
      <c r="G146" s="6"/>
      <c r="H146" s="6"/>
      <c r="I146" s="6"/>
      <c r="J146" s="5"/>
    </row>
    <row r="147" spans="2:10" x14ac:dyDescent="0.3">
      <c r="B147" s="9" t="s">
        <v>42</v>
      </c>
      <c r="C147" s="5"/>
      <c r="D147" s="6"/>
      <c r="E147" s="6"/>
      <c r="F147" s="6"/>
      <c r="G147" s="6"/>
      <c r="H147" s="6"/>
      <c r="I147" s="6"/>
      <c r="J147" s="5"/>
    </row>
  </sheetData>
  <mergeCells count="43">
    <mergeCell ref="D113:I113"/>
    <mergeCell ref="D76:I76"/>
    <mergeCell ref="D39:I39"/>
    <mergeCell ref="D117:G117"/>
    <mergeCell ref="C118:C119"/>
    <mergeCell ref="I118:I119"/>
    <mergeCell ref="D119:G119"/>
    <mergeCell ref="D77:I77"/>
    <mergeCell ref="B78:J78"/>
    <mergeCell ref="D79:G79"/>
    <mergeCell ref="H79:I80"/>
    <mergeCell ref="D80:G80"/>
    <mergeCell ref="B44:B45"/>
    <mergeCell ref="C44:C45"/>
    <mergeCell ref="H44:H45"/>
    <mergeCell ref="I44:I45"/>
    <mergeCell ref="B118:B119"/>
    <mergeCell ref="H118:H119"/>
    <mergeCell ref="D114:I114"/>
    <mergeCell ref="B115:J115"/>
    <mergeCell ref="D116:G116"/>
    <mergeCell ref="H116:I117"/>
    <mergeCell ref="B81:B82"/>
    <mergeCell ref="C81:C82"/>
    <mergeCell ref="H81:H82"/>
    <mergeCell ref="I81:I82"/>
    <mergeCell ref="D82:G82"/>
    <mergeCell ref="D45:G45"/>
    <mergeCell ref="D40:I40"/>
    <mergeCell ref="B41:J41"/>
    <mergeCell ref="D42:G42"/>
    <mergeCell ref="H42:I43"/>
    <mergeCell ref="D43:G43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4516E-03D3-4935-B1E2-9E3A265D61A9}">
  <sheetPr codeName="Sheet4"/>
  <dimension ref="B3:L147"/>
  <sheetViews>
    <sheetView topLeftCell="A119" workbookViewId="0">
      <selection activeCell="A131" sqref="A131:XFD142"/>
    </sheetView>
  </sheetViews>
  <sheetFormatPr defaultColWidth="9" defaultRowHeight="14.4" x14ac:dyDescent="0.3"/>
  <cols>
    <col min="1" max="1" width="2" style="3" customWidth="1"/>
    <col min="2" max="2" width="7.2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9" width="13" style="3" customWidth="1"/>
    <col min="10" max="16384" width="9" style="3"/>
  </cols>
  <sheetData>
    <row r="3" spans="2:12" s="37" customFormat="1" ht="18" x14ac:dyDescent="0.35">
      <c r="B3" s="27"/>
      <c r="C3" s="27"/>
      <c r="D3" s="151" t="s">
        <v>48</v>
      </c>
      <c r="E3" s="151"/>
      <c r="F3" s="151"/>
      <c r="G3" s="151"/>
      <c r="H3" s="151"/>
      <c r="I3" s="151"/>
      <c r="J3" s="27"/>
      <c r="K3" s="38"/>
      <c r="L3" s="2"/>
    </row>
    <row r="4" spans="2:12" ht="15.9" customHeight="1" x14ac:dyDescent="0.3">
      <c r="B4" s="128" t="s">
        <v>84</v>
      </c>
      <c r="C4" s="128"/>
      <c r="D4" s="128"/>
      <c r="E4" s="128"/>
      <c r="F4" s="128"/>
      <c r="G4" s="128"/>
      <c r="H4" s="128"/>
      <c r="I4" s="128"/>
      <c r="J4" s="128"/>
      <c r="K4" s="1"/>
      <c r="L4" s="2"/>
    </row>
    <row r="5" spans="2:12" ht="14.4" customHeight="1" x14ac:dyDescent="0.3">
      <c r="B5" s="15"/>
      <c r="C5" s="16"/>
      <c r="D5" s="152" t="s">
        <v>6</v>
      </c>
      <c r="E5" s="153"/>
      <c r="F5" s="153"/>
      <c r="G5" s="154"/>
      <c r="H5" s="155" t="s">
        <v>7</v>
      </c>
      <c r="I5" s="156"/>
      <c r="J5" s="4"/>
      <c r="K5" s="1"/>
      <c r="L5" s="2"/>
    </row>
    <row r="6" spans="2:12" x14ac:dyDescent="0.3">
      <c r="B6" s="13"/>
      <c r="C6" s="14"/>
      <c r="D6" s="159" t="s">
        <v>9</v>
      </c>
      <c r="E6" s="160"/>
      <c r="F6" s="160"/>
      <c r="G6" s="161"/>
      <c r="H6" s="157"/>
      <c r="I6" s="158"/>
      <c r="J6" s="4"/>
      <c r="K6" s="1"/>
      <c r="L6" s="2"/>
    </row>
    <row r="7" spans="2:12" ht="18.899999999999999" customHeight="1" x14ac:dyDescent="0.3">
      <c r="B7" s="132" t="s">
        <v>10</v>
      </c>
      <c r="C7" s="134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62" t="s">
        <v>16</v>
      </c>
      <c r="I7" s="134" t="s">
        <v>17</v>
      </c>
      <c r="J7" s="20"/>
      <c r="K7" s="1"/>
      <c r="L7" s="2"/>
    </row>
    <row r="8" spans="2:12" ht="35.4" customHeight="1" x14ac:dyDescent="0.3">
      <c r="B8" s="133"/>
      <c r="C8" s="135"/>
      <c r="D8" s="164" t="s">
        <v>20</v>
      </c>
      <c r="E8" s="165"/>
      <c r="F8" s="165"/>
      <c r="G8" s="166"/>
      <c r="H8" s="163"/>
      <c r="I8" s="135"/>
      <c r="J8" s="20"/>
      <c r="K8" s="1"/>
    </row>
    <row r="9" spans="2:12" x14ac:dyDescent="0.3">
      <c r="B9" s="42">
        <v>4</v>
      </c>
      <c r="C9" s="40" t="s">
        <v>21</v>
      </c>
      <c r="D9" s="21">
        <v>132961.5</v>
      </c>
      <c r="E9" s="21">
        <v>0</v>
      </c>
      <c r="F9" s="45">
        <f>+D9+E9</f>
        <v>132961.5</v>
      </c>
      <c r="G9" s="21">
        <f>+F9</f>
        <v>132961.5</v>
      </c>
      <c r="H9" s="46">
        <f t="shared" ref="H9:H19" si="0">((G9-I9)/I9)*100</f>
        <v>517.99442249593312</v>
      </c>
      <c r="I9" s="21">
        <v>21515</v>
      </c>
      <c r="J9" s="22"/>
      <c r="K9" s="1"/>
    </row>
    <row r="10" spans="2:12" x14ac:dyDescent="0.3">
      <c r="B10" s="42">
        <v>5</v>
      </c>
      <c r="C10" s="40" t="s">
        <v>22</v>
      </c>
      <c r="D10" s="26">
        <v>412465.22</v>
      </c>
      <c r="E10" s="26">
        <v>0</v>
      </c>
      <c r="F10" s="49">
        <f>+E10+D10</f>
        <v>412465.22</v>
      </c>
      <c r="G10" s="26">
        <f>+G9+F10</f>
        <v>545426.72</v>
      </c>
      <c r="H10" s="50">
        <f t="shared" si="0"/>
        <v>21.041028790353149</v>
      </c>
      <c r="I10" s="26">
        <f>+I9+429098.09</f>
        <v>450613.09</v>
      </c>
      <c r="J10" s="22"/>
      <c r="K10" s="1"/>
    </row>
    <row r="11" spans="2:12" x14ac:dyDescent="0.3">
      <c r="B11" s="42">
        <v>6</v>
      </c>
      <c r="C11" s="40" t="s">
        <v>23</v>
      </c>
      <c r="D11" s="26">
        <v>838322.14</v>
      </c>
      <c r="E11" s="26">
        <v>0</v>
      </c>
      <c r="F11" s="49">
        <f>+E11+D11</f>
        <v>838322.14</v>
      </c>
      <c r="G11" s="26">
        <f t="shared" ref="G11:G31" si="1">+G10+F11</f>
        <v>1383748.8599999999</v>
      </c>
      <c r="H11" s="50">
        <f t="shared" si="0"/>
        <v>73.250922043105746</v>
      </c>
      <c r="I11" s="26">
        <f>+I10+348083.3</f>
        <v>798696.39</v>
      </c>
      <c r="J11" s="22"/>
      <c r="K11" s="1"/>
    </row>
    <row r="12" spans="2:12" x14ac:dyDescent="0.3">
      <c r="B12" s="42">
        <v>7</v>
      </c>
      <c r="C12" s="40" t="s">
        <v>24</v>
      </c>
      <c r="D12" s="26">
        <v>322426.14</v>
      </c>
      <c r="E12" s="26">
        <v>352980</v>
      </c>
      <c r="F12" s="49">
        <f t="shared" ref="F12:F31" si="2">+E12+D12</f>
        <v>675406.14</v>
      </c>
      <c r="G12" s="26">
        <f>+G11+F12</f>
        <v>2059155</v>
      </c>
      <c r="H12" s="50">
        <f t="shared" si="0"/>
        <v>39.718352802955806</v>
      </c>
      <c r="I12" s="26">
        <f>+I11+675093.53</f>
        <v>1473789.92</v>
      </c>
      <c r="J12" s="22"/>
      <c r="K12" s="1"/>
    </row>
    <row r="13" spans="2:12" x14ac:dyDescent="0.3">
      <c r="B13" s="42">
        <v>8</v>
      </c>
      <c r="C13" s="40" t="s">
        <v>25</v>
      </c>
      <c r="D13" s="26">
        <v>773175.73</v>
      </c>
      <c r="E13" s="26">
        <v>0</v>
      </c>
      <c r="F13" s="49">
        <f>+E13+D13</f>
        <v>773175.73</v>
      </c>
      <c r="G13" s="26">
        <f t="shared" ref="G13:G19" si="3">+G12+F13</f>
        <v>2832330.73</v>
      </c>
      <c r="H13" s="50">
        <f t="shared" si="0"/>
        <v>46.437596039333847</v>
      </c>
      <c r="I13" s="26">
        <v>1934155.44</v>
      </c>
      <c r="J13" s="22"/>
      <c r="K13" s="1"/>
    </row>
    <row r="14" spans="2:12" x14ac:dyDescent="0.3">
      <c r="B14" s="42">
        <v>9</v>
      </c>
      <c r="C14" s="40" t="s">
        <v>26</v>
      </c>
      <c r="D14" s="26">
        <v>729160.26</v>
      </c>
      <c r="E14" s="26">
        <v>0</v>
      </c>
      <c r="F14" s="49">
        <f>+E14+D14</f>
        <v>729160.26</v>
      </c>
      <c r="G14" s="26">
        <f t="shared" si="3"/>
        <v>3561490.99</v>
      </c>
      <c r="H14" s="50">
        <f t="shared" si="0"/>
        <v>36.887881745820856</v>
      </c>
      <c r="I14" s="26">
        <f>+I13+667602.25</f>
        <v>2601757.69</v>
      </c>
      <c r="J14" s="22"/>
      <c r="K14" s="1"/>
    </row>
    <row r="15" spans="2:12" x14ac:dyDescent="0.3">
      <c r="B15" s="42">
        <v>10</v>
      </c>
      <c r="C15" s="40" t="s">
        <v>67</v>
      </c>
      <c r="D15" s="26">
        <v>1093443.6100000001</v>
      </c>
      <c r="E15" s="26">
        <v>0</v>
      </c>
      <c r="F15" s="49">
        <f>+E15+D15</f>
        <v>1093443.6100000001</v>
      </c>
      <c r="G15" s="26">
        <f t="shared" si="3"/>
        <v>4654934.6000000006</v>
      </c>
      <c r="H15" s="50">
        <f t="shared" si="0"/>
        <v>32.658516529671488</v>
      </c>
      <c r="I15" s="26">
        <f>+I14+907202.55</f>
        <v>3508960.24</v>
      </c>
      <c r="J15" s="22"/>
      <c r="K15" s="1"/>
    </row>
    <row r="16" spans="2:12" x14ac:dyDescent="0.3">
      <c r="B16" s="42">
        <v>11</v>
      </c>
      <c r="C16" s="40" t="s">
        <v>68</v>
      </c>
      <c r="D16" s="24">
        <v>1093426.69</v>
      </c>
      <c r="E16" s="26">
        <v>0</v>
      </c>
      <c r="F16" s="25">
        <v>1039426.69</v>
      </c>
      <c r="G16" s="26">
        <f t="shared" si="3"/>
        <v>5694361.290000001</v>
      </c>
      <c r="H16" s="50">
        <f t="shared" si="0"/>
        <v>33.325199700996848</v>
      </c>
      <c r="I16" s="26">
        <f>+I15+762071.27</f>
        <v>4271031.51</v>
      </c>
      <c r="J16" s="22"/>
      <c r="K16" s="1"/>
    </row>
    <row r="17" spans="2:11" x14ac:dyDescent="0.3">
      <c r="B17" s="42">
        <v>12</v>
      </c>
      <c r="C17" s="40" t="s">
        <v>83</v>
      </c>
      <c r="D17" s="24">
        <v>1025660.69</v>
      </c>
      <c r="E17" s="24">
        <v>0</v>
      </c>
      <c r="F17" s="25">
        <f t="shared" ref="F17:F19" si="4">+E17+D17</f>
        <v>1025660.69</v>
      </c>
      <c r="G17" s="26">
        <f t="shared" si="3"/>
        <v>6720021.9800000004</v>
      </c>
      <c r="H17" s="50">
        <f t="shared" si="0"/>
        <v>40.129156913412132</v>
      </c>
      <c r="I17" s="26">
        <f>+I16+524560.02</f>
        <v>4795591.5299999993</v>
      </c>
      <c r="J17" s="22"/>
      <c r="K17" s="1"/>
    </row>
    <row r="18" spans="2:11" x14ac:dyDescent="0.3">
      <c r="B18" s="42">
        <v>13</v>
      </c>
      <c r="C18" s="40" t="s">
        <v>69</v>
      </c>
      <c r="D18" s="24">
        <v>477617.16</v>
      </c>
      <c r="E18" s="26">
        <v>0</v>
      </c>
      <c r="F18" s="25">
        <f t="shared" si="4"/>
        <v>477617.16</v>
      </c>
      <c r="G18" s="26">
        <f t="shared" si="3"/>
        <v>7197639.1400000006</v>
      </c>
      <c r="H18" s="50">
        <f t="shared" si="0"/>
        <v>39.217675578499147</v>
      </c>
      <c r="I18" s="26">
        <v>5170061.28</v>
      </c>
      <c r="J18" s="22"/>
      <c r="K18" s="1"/>
    </row>
    <row r="19" spans="2:11" x14ac:dyDescent="0.3">
      <c r="B19" s="42">
        <v>14</v>
      </c>
      <c r="C19" s="86" t="s">
        <v>70</v>
      </c>
      <c r="D19" s="24">
        <v>147509.1</v>
      </c>
      <c r="E19" s="26">
        <v>0</v>
      </c>
      <c r="F19" s="25">
        <f t="shared" si="4"/>
        <v>147509.1</v>
      </c>
      <c r="G19" s="26">
        <f t="shared" si="3"/>
        <v>7345148.2400000002</v>
      </c>
      <c r="H19" s="50">
        <f t="shared" si="0"/>
        <v>36.976170756087122</v>
      </c>
      <c r="I19" s="26">
        <f>+I18+192293.5</f>
        <v>5362354.78</v>
      </c>
      <c r="J19" s="22"/>
      <c r="K19" s="1"/>
    </row>
    <row r="20" spans="2:11" hidden="1" x14ac:dyDescent="0.3">
      <c r="B20" s="11">
        <v>15</v>
      </c>
      <c r="C20" s="17" t="s">
        <v>27</v>
      </c>
      <c r="D20" s="24"/>
      <c r="E20" s="24"/>
      <c r="F20" s="25">
        <f t="shared" si="2"/>
        <v>0</v>
      </c>
      <c r="G20" s="24">
        <f t="shared" si="1"/>
        <v>7345148.2400000002</v>
      </c>
      <c r="H20" s="12">
        <v>0</v>
      </c>
      <c r="I20" s="26">
        <v>0</v>
      </c>
      <c r="J20" s="22"/>
      <c r="K20" s="1"/>
    </row>
    <row r="21" spans="2:11" hidden="1" x14ac:dyDescent="0.3">
      <c r="B21" s="11">
        <v>16</v>
      </c>
      <c r="C21" s="17" t="s">
        <v>28</v>
      </c>
      <c r="D21" s="24"/>
      <c r="E21" s="24"/>
      <c r="F21" s="25">
        <f t="shared" si="2"/>
        <v>0</v>
      </c>
      <c r="G21" s="24">
        <f t="shared" si="1"/>
        <v>7345148.2400000002</v>
      </c>
      <c r="H21" s="12">
        <v>0</v>
      </c>
      <c r="I21" s="26">
        <v>0</v>
      </c>
      <c r="J21" s="22"/>
      <c r="K21" s="1"/>
    </row>
    <row r="22" spans="2:11" hidden="1" x14ac:dyDescent="0.3">
      <c r="B22" s="11">
        <v>17</v>
      </c>
      <c r="C22" s="17" t="s">
        <v>29</v>
      </c>
      <c r="D22" s="24"/>
      <c r="E22" s="24"/>
      <c r="F22" s="25">
        <f t="shared" si="2"/>
        <v>0</v>
      </c>
      <c r="G22" s="24">
        <f t="shared" si="1"/>
        <v>7345148.2400000002</v>
      </c>
      <c r="H22" s="12">
        <v>0</v>
      </c>
      <c r="I22" s="26">
        <v>0</v>
      </c>
      <c r="J22" s="22"/>
      <c r="K22" s="1"/>
    </row>
    <row r="23" spans="2:11" hidden="1" x14ac:dyDescent="0.3">
      <c r="B23" s="11">
        <v>18</v>
      </c>
      <c r="C23" s="17" t="s">
        <v>30</v>
      </c>
      <c r="D23" s="24"/>
      <c r="E23" s="24"/>
      <c r="F23" s="25">
        <f t="shared" si="2"/>
        <v>0</v>
      </c>
      <c r="G23" s="24">
        <f t="shared" si="1"/>
        <v>7345148.2400000002</v>
      </c>
      <c r="H23" s="12">
        <v>0</v>
      </c>
      <c r="I23" s="26">
        <v>0</v>
      </c>
      <c r="J23" s="22"/>
      <c r="K23" s="1"/>
    </row>
    <row r="24" spans="2:11" hidden="1" x14ac:dyDescent="0.3">
      <c r="B24" s="11">
        <v>19</v>
      </c>
      <c r="C24" s="17" t="s">
        <v>31</v>
      </c>
      <c r="D24" s="24"/>
      <c r="E24" s="24"/>
      <c r="F24" s="25">
        <f t="shared" si="2"/>
        <v>0</v>
      </c>
      <c r="G24" s="24">
        <f t="shared" si="1"/>
        <v>7345148.2400000002</v>
      </c>
      <c r="H24" s="12">
        <v>0</v>
      </c>
      <c r="I24" s="26">
        <v>0</v>
      </c>
      <c r="J24" s="22"/>
      <c r="K24" s="1"/>
    </row>
    <row r="25" spans="2:11" hidden="1" x14ac:dyDescent="0.3">
      <c r="B25" s="11">
        <v>20</v>
      </c>
      <c r="C25" s="17" t="s">
        <v>32</v>
      </c>
      <c r="D25" s="24"/>
      <c r="E25" s="24"/>
      <c r="F25" s="25">
        <f t="shared" si="2"/>
        <v>0</v>
      </c>
      <c r="G25" s="24">
        <f t="shared" si="1"/>
        <v>7345148.2400000002</v>
      </c>
      <c r="H25" s="12">
        <v>0</v>
      </c>
      <c r="I25" s="26">
        <v>0</v>
      </c>
      <c r="J25" s="22"/>
      <c r="K25" s="1"/>
    </row>
    <row r="26" spans="2:11" hidden="1" x14ac:dyDescent="0.3">
      <c r="B26" s="11">
        <v>21</v>
      </c>
      <c r="C26" s="17" t="s">
        <v>33</v>
      </c>
      <c r="D26" s="24"/>
      <c r="E26" s="24"/>
      <c r="F26" s="25">
        <f t="shared" si="2"/>
        <v>0</v>
      </c>
      <c r="G26" s="24">
        <f t="shared" si="1"/>
        <v>7345148.2400000002</v>
      </c>
      <c r="H26" s="12">
        <v>0</v>
      </c>
      <c r="I26" s="26">
        <v>0</v>
      </c>
      <c r="J26" s="22"/>
      <c r="K26" s="1"/>
    </row>
    <row r="27" spans="2:11" hidden="1" x14ac:dyDescent="0.3">
      <c r="B27" s="11">
        <v>22</v>
      </c>
      <c r="C27" s="17" t="s">
        <v>34</v>
      </c>
      <c r="D27" s="24"/>
      <c r="E27" s="24"/>
      <c r="F27" s="25">
        <f t="shared" si="2"/>
        <v>0</v>
      </c>
      <c r="G27" s="24">
        <f t="shared" si="1"/>
        <v>7345148.2400000002</v>
      </c>
      <c r="H27" s="12">
        <v>0</v>
      </c>
      <c r="I27" s="26">
        <v>0</v>
      </c>
      <c r="J27" s="22"/>
      <c r="K27" s="1"/>
    </row>
    <row r="28" spans="2:11" hidden="1" x14ac:dyDescent="0.3">
      <c r="B28" s="11">
        <v>23</v>
      </c>
      <c r="C28" s="17" t="s">
        <v>35</v>
      </c>
      <c r="D28" s="24"/>
      <c r="E28" s="24"/>
      <c r="F28" s="25">
        <f t="shared" si="2"/>
        <v>0</v>
      </c>
      <c r="G28" s="24">
        <f t="shared" si="1"/>
        <v>7345148.2400000002</v>
      </c>
      <c r="H28" s="12">
        <v>0</v>
      </c>
      <c r="I28" s="26">
        <v>0</v>
      </c>
      <c r="J28" s="22"/>
      <c r="K28" s="1"/>
    </row>
    <row r="29" spans="2:11" hidden="1" x14ac:dyDescent="0.3">
      <c r="B29" s="11">
        <v>24</v>
      </c>
      <c r="C29" s="17" t="s">
        <v>36</v>
      </c>
      <c r="D29" s="24"/>
      <c r="E29" s="24"/>
      <c r="F29" s="25">
        <f t="shared" si="2"/>
        <v>0</v>
      </c>
      <c r="G29" s="24">
        <f t="shared" si="1"/>
        <v>7345148.2400000002</v>
      </c>
      <c r="H29" s="12">
        <v>0</v>
      </c>
      <c r="I29" s="26">
        <v>0</v>
      </c>
      <c r="J29" s="22"/>
      <c r="K29" s="1"/>
    </row>
    <row r="30" spans="2:11" hidden="1" x14ac:dyDescent="0.3">
      <c r="B30" s="11">
        <v>25</v>
      </c>
      <c r="C30" s="18" t="s">
        <v>37</v>
      </c>
      <c r="D30" s="24"/>
      <c r="E30" s="24"/>
      <c r="F30" s="25">
        <f t="shared" si="2"/>
        <v>0</v>
      </c>
      <c r="G30" s="24">
        <f t="shared" si="1"/>
        <v>7345148.2400000002</v>
      </c>
      <c r="H30" s="12">
        <v>0</v>
      </c>
      <c r="I30" s="26">
        <v>0</v>
      </c>
      <c r="J30" s="22"/>
      <c r="K30" s="1"/>
    </row>
    <row r="31" spans="2:11" hidden="1" x14ac:dyDescent="0.3">
      <c r="B31" s="28">
        <v>26</v>
      </c>
      <c r="C31" s="29" t="s">
        <v>38</v>
      </c>
      <c r="D31" s="30"/>
      <c r="E31" s="30"/>
      <c r="F31" s="31">
        <f t="shared" si="2"/>
        <v>0</v>
      </c>
      <c r="G31" s="30">
        <f t="shared" si="1"/>
        <v>7345148.2400000002</v>
      </c>
      <c r="H31" s="32">
        <v>0</v>
      </c>
      <c r="I31" s="33">
        <v>0</v>
      </c>
      <c r="J31" s="22"/>
      <c r="K31" s="1"/>
    </row>
    <row r="32" spans="2:11" x14ac:dyDescent="0.3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">
      <c r="B33" s="8" t="s">
        <v>39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">
      <c r="B34" s="9" t="s">
        <v>40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">
      <c r="B35" s="9" t="s">
        <v>41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">
      <c r="B36" s="9" t="s">
        <v>42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" x14ac:dyDescent="0.35">
      <c r="B39" s="10"/>
      <c r="C39" s="10"/>
      <c r="D39" s="167" t="s">
        <v>43</v>
      </c>
      <c r="E39" s="167"/>
      <c r="F39" s="167"/>
      <c r="G39" s="167"/>
      <c r="H39" s="167"/>
      <c r="I39" s="167"/>
      <c r="J39" s="10"/>
    </row>
    <row r="40" spans="2:11" s="37" customFormat="1" ht="15.6" x14ac:dyDescent="0.3">
      <c r="B40" s="27"/>
      <c r="C40" s="27"/>
      <c r="D40" s="168" t="s">
        <v>48</v>
      </c>
      <c r="E40" s="168"/>
      <c r="F40" s="168"/>
      <c r="G40" s="168"/>
      <c r="H40" s="168"/>
      <c r="I40" s="168"/>
      <c r="J40" s="27"/>
    </row>
    <row r="41" spans="2:11" ht="15.9" customHeight="1" x14ac:dyDescent="0.3">
      <c r="B41" s="128" t="s">
        <v>84</v>
      </c>
      <c r="C41" s="128"/>
      <c r="D41" s="128"/>
      <c r="E41" s="128"/>
      <c r="F41" s="128"/>
      <c r="G41" s="128"/>
      <c r="H41" s="128"/>
      <c r="I41" s="128"/>
      <c r="J41" s="128"/>
    </row>
    <row r="42" spans="2:11" ht="14.4" customHeight="1" x14ac:dyDescent="0.3">
      <c r="B42" s="15"/>
      <c r="C42" s="16"/>
      <c r="D42" s="152" t="s">
        <v>6</v>
      </c>
      <c r="E42" s="153"/>
      <c r="F42" s="153"/>
      <c r="G42" s="154"/>
      <c r="H42" s="155" t="s">
        <v>7</v>
      </c>
      <c r="I42" s="156"/>
      <c r="J42" s="4"/>
    </row>
    <row r="43" spans="2:11" x14ac:dyDescent="0.3">
      <c r="B43" s="13"/>
      <c r="C43" s="14"/>
      <c r="D43" s="159" t="s">
        <v>9</v>
      </c>
      <c r="E43" s="160"/>
      <c r="F43" s="160"/>
      <c r="G43" s="161"/>
      <c r="H43" s="157"/>
      <c r="I43" s="158"/>
      <c r="J43" s="4"/>
    </row>
    <row r="44" spans="2:11" ht="14.4" customHeight="1" x14ac:dyDescent="0.3">
      <c r="B44" s="132" t="s">
        <v>10</v>
      </c>
      <c r="C44" s="134" t="s">
        <v>11</v>
      </c>
      <c r="D44" s="19" t="s">
        <v>12</v>
      </c>
      <c r="E44" s="19" t="s">
        <v>13</v>
      </c>
      <c r="F44" s="19" t="s">
        <v>14</v>
      </c>
      <c r="G44" s="19" t="s">
        <v>15</v>
      </c>
      <c r="H44" s="162" t="s">
        <v>16</v>
      </c>
      <c r="I44" s="134" t="s">
        <v>17</v>
      </c>
      <c r="J44" s="20"/>
    </row>
    <row r="45" spans="2:11" ht="37.65" customHeight="1" x14ac:dyDescent="0.3">
      <c r="B45" s="133"/>
      <c r="C45" s="135"/>
      <c r="D45" s="164" t="s">
        <v>20</v>
      </c>
      <c r="E45" s="165"/>
      <c r="F45" s="165"/>
      <c r="G45" s="166"/>
      <c r="H45" s="163"/>
      <c r="I45" s="135"/>
      <c r="J45" s="20"/>
    </row>
    <row r="46" spans="2:11" x14ac:dyDescent="0.3">
      <c r="B46" s="42">
        <v>4</v>
      </c>
      <c r="C46" s="55" t="s">
        <v>21</v>
      </c>
      <c r="D46" s="56">
        <v>72307.5</v>
      </c>
      <c r="E46" s="56">
        <v>0</v>
      </c>
      <c r="F46" s="57">
        <f>+D46+E46</f>
        <v>72307.5</v>
      </c>
      <c r="G46" s="56">
        <f>+F46</f>
        <v>72307.5</v>
      </c>
      <c r="H46" s="58">
        <f t="shared" ref="H46:H56" si="5">((G46-I46)/I46)*100</f>
        <v>236.07947943295375</v>
      </c>
      <c r="I46" s="56">
        <v>21515</v>
      </c>
      <c r="J46" s="22"/>
    </row>
    <row r="47" spans="2:11" x14ac:dyDescent="0.3">
      <c r="B47" s="42">
        <v>5</v>
      </c>
      <c r="C47" s="55" t="s">
        <v>22</v>
      </c>
      <c r="D47" s="59">
        <v>237441</v>
      </c>
      <c r="E47" s="59">
        <v>0</v>
      </c>
      <c r="F47" s="60">
        <f>+E47+D47</f>
        <v>237441</v>
      </c>
      <c r="G47" s="59">
        <f>+G46+F47</f>
        <v>309748.5</v>
      </c>
      <c r="H47" s="61">
        <f t="shared" si="5"/>
        <v>-3.3713350730216765</v>
      </c>
      <c r="I47" s="59">
        <f>+I46+299040.5</f>
        <v>320555.5</v>
      </c>
      <c r="J47" s="22"/>
    </row>
    <row r="48" spans="2:11" x14ac:dyDescent="0.3">
      <c r="B48" s="42">
        <v>6</v>
      </c>
      <c r="C48" s="55" t="s">
        <v>23</v>
      </c>
      <c r="D48" s="59">
        <v>744454.5</v>
      </c>
      <c r="E48" s="59">
        <v>0</v>
      </c>
      <c r="F48" s="60">
        <f>+E48+D48</f>
        <v>744454.5</v>
      </c>
      <c r="G48" s="59">
        <f t="shared" ref="G48" si="6">+G47+F48</f>
        <v>1054203</v>
      </c>
      <c r="H48" s="61">
        <f t="shared" si="5"/>
        <v>66.462718047065323</v>
      </c>
      <c r="I48" s="59">
        <f>+I47+312741.26</f>
        <v>633296.76</v>
      </c>
      <c r="J48" s="22"/>
    </row>
    <row r="49" spans="2:10" x14ac:dyDescent="0.3">
      <c r="B49" s="42">
        <v>7</v>
      </c>
      <c r="C49" s="55" t="s">
        <v>24</v>
      </c>
      <c r="D49" s="59">
        <v>214041</v>
      </c>
      <c r="E49" s="59">
        <v>340716</v>
      </c>
      <c r="F49" s="60">
        <f t="shared" ref="F49:F68" si="7">+E49+D49</f>
        <v>554757</v>
      </c>
      <c r="G49" s="59">
        <f>+G48+F49</f>
        <v>1608960</v>
      </c>
      <c r="H49" s="61">
        <f t="shared" si="5"/>
        <v>24.75572876226904</v>
      </c>
      <c r="I49" s="59">
        <f>+I48+656391.51</f>
        <v>1289688.27</v>
      </c>
      <c r="J49" s="22"/>
    </row>
    <row r="50" spans="2:10" x14ac:dyDescent="0.3">
      <c r="B50" s="42">
        <v>8</v>
      </c>
      <c r="C50" s="55" t="s">
        <v>25</v>
      </c>
      <c r="D50" s="26">
        <v>556868.52</v>
      </c>
      <c r="E50" s="26">
        <v>0</v>
      </c>
      <c r="F50" s="49">
        <f t="shared" si="7"/>
        <v>556868.52</v>
      </c>
      <c r="G50" s="26">
        <f t="shared" ref="G50:G56" si="8">+G49+F50</f>
        <v>2165828.52</v>
      </c>
      <c r="H50" s="50">
        <f t="shared" si="5"/>
        <v>29.777229216183482</v>
      </c>
      <c r="I50" s="26">
        <v>1668881.77</v>
      </c>
      <c r="J50" s="22"/>
    </row>
    <row r="51" spans="2:10" x14ac:dyDescent="0.3">
      <c r="B51" s="42">
        <v>9</v>
      </c>
      <c r="C51" s="40" t="s">
        <v>26</v>
      </c>
      <c r="D51" s="26">
        <v>500004.5</v>
      </c>
      <c r="E51" s="26"/>
      <c r="F51" s="49">
        <f t="shared" si="7"/>
        <v>500004.5</v>
      </c>
      <c r="G51" s="26">
        <f t="shared" si="8"/>
        <v>2665833.02</v>
      </c>
      <c r="H51" s="50">
        <f t="shared" si="5"/>
        <v>16.589784314282209</v>
      </c>
      <c r="I51" s="26">
        <f>+I50+617624.75</f>
        <v>2286506.52</v>
      </c>
      <c r="J51" s="22"/>
    </row>
    <row r="52" spans="2:10" x14ac:dyDescent="0.3">
      <c r="B52" s="42">
        <v>10</v>
      </c>
      <c r="C52" s="40" t="s">
        <v>67</v>
      </c>
      <c r="D52" s="26">
        <v>987340</v>
      </c>
      <c r="E52" s="26">
        <v>0</v>
      </c>
      <c r="F52" s="49">
        <f t="shared" si="7"/>
        <v>987340</v>
      </c>
      <c r="G52" s="26">
        <f t="shared" si="8"/>
        <v>3653173.02</v>
      </c>
      <c r="H52" s="50">
        <f t="shared" si="5"/>
        <v>19.933374830788853</v>
      </c>
      <c r="I52" s="26">
        <f>+I51+759495.5</f>
        <v>3046002.02</v>
      </c>
      <c r="J52" s="22"/>
    </row>
    <row r="53" spans="2:10" x14ac:dyDescent="0.3">
      <c r="B53" s="42">
        <v>11</v>
      </c>
      <c r="C53" s="40" t="s">
        <v>68</v>
      </c>
      <c r="D53" s="26">
        <v>683415.52</v>
      </c>
      <c r="E53" s="26">
        <v>0</v>
      </c>
      <c r="F53" s="49">
        <f t="shared" si="7"/>
        <v>683415.52</v>
      </c>
      <c r="G53" s="26">
        <f t="shared" si="8"/>
        <v>4336588.54</v>
      </c>
      <c r="H53" s="50">
        <f t="shared" si="5"/>
        <v>16.946303935412637</v>
      </c>
      <c r="I53" s="26">
        <f>+I52+662185.75</f>
        <v>3708187.77</v>
      </c>
      <c r="J53" s="22"/>
    </row>
    <row r="54" spans="2:10" x14ac:dyDescent="0.3">
      <c r="B54" s="42">
        <v>12</v>
      </c>
      <c r="C54" s="40" t="s">
        <v>83</v>
      </c>
      <c r="D54" s="26">
        <v>613633.51</v>
      </c>
      <c r="E54" s="26">
        <v>0</v>
      </c>
      <c r="F54" s="49">
        <f t="shared" si="7"/>
        <v>613633.51</v>
      </c>
      <c r="G54" s="26">
        <f t="shared" si="8"/>
        <v>4950222.05</v>
      </c>
      <c r="H54" s="50">
        <f t="shared" si="5"/>
        <v>22.898480291909276</v>
      </c>
      <c r="I54" s="26">
        <f>+I53+319707.48</f>
        <v>4027895.25</v>
      </c>
      <c r="J54" s="22"/>
    </row>
    <row r="55" spans="2:10" x14ac:dyDescent="0.3">
      <c r="B55" s="42">
        <v>13</v>
      </c>
      <c r="C55" s="40" t="s">
        <v>69</v>
      </c>
      <c r="D55" s="26">
        <v>97321.01</v>
      </c>
      <c r="E55" s="26">
        <v>0</v>
      </c>
      <c r="F55" s="49">
        <f t="shared" si="7"/>
        <v>97321.01</v>
      </c>
      <c r="G55" s="26">
        <f t="shared" si="8"/>
        <v>5047543.0599999996</v>
      </c>
      <c r="H55" s="50">
        <f t="shared" si="5"/>
        <v>15.662355191995283</v>
      </c>
      <c r="I55" s="26">
        <v>4364032.75</v>
      </c>
      <c r="J55" s="22"/>
    </row>
    <row r="56" spans="2:10" x14ac:dyDescent="0.3">
      <c r="B56" s="42">
        <v>14</v>
      </c>
      <c r="C56" s="86" t="s">
        <v>70</v>
      </c>
      <c r="D56" s="26">
        <v>39692.019999999997</v>
      </c>
      <c r="E56" s="26">
        <v>0</v>
      </c>
      <c r="F56" s="49">
        <f t="shared" si="7"/>
        <v>39692.019999999997</v>
      </c>
      <c r="G56" s="26">
        <f t="shared" si="8"/>
        <v>5087235.0799999991</v>
      </c>
      <c r="H56" s="50">
        <f t="shared" si="5"/>
        <v>12.184136667792222</v>
      </c>
      <c r="I56" s="26">
        <f>+I55+170686</f>
        <v>4534718.75</v>
      </c>
      <c r="J56" s="22"/>
    </row>
    <row r="57" spans="2:10" hidden="1" x14ac:dyDescent="0.3">
      <c r="B57" s="11">
        <v>15</v>
      </c>
      <c r="C57" s="17" t="s">
        <v>27</v>
      </c>
      <c r="D57" s="24"/>
      <c r="E57" s="24"/>
      <c r="F57" s="25">
        <f t="shared" si="7"/>
        <v>0</v>
      </c>
      <c r="G57" s="24">
        <f t="shared" ref="G57:G68" si="9">+G56+F57</f>
        <v>5087235.0799999991</v>
      </c>
      <c r="H57" s="12">
        <v>0</v>
      </c>
      <c r="I57" s="26">
        <v>0</v>
      </c>
      <c r="J57" s="22"/>
    </row>
    <row r="58" spans="2:10" hidden="1" x14ac:dyDescent="0.3">
      <c r="B58" s="11">
        <v>16</v>
      </c>
      <c r="C58" s="17" t="s">
        <v>28</v>
      </c>
      <c r="D58" s="24"/>
      <c r="E58" s="24"/>
      <c r="F58" s="25">
        <f t="shared" si="7"/>
        <v>0</v>
      </c>
      <c r="G58" s="24">
        <f t="shared" si="9"/>
        <v>5087235.0799999991</v>
      </c>
      <c r="H58" s="12">
        <v>0</v>
      </c>
      <c r="I58" s="26">
        <v>0</v>
      </c>
      <c r="J58" s="22"/>
    </row>
    <row r="59" spans="2:10" hidden="1" x14ac:dyDescent="0.3">
      <c r="B59" s="11">
        <v>17</v>
      </c>
      <c r="C59" s="17" t="s">
        <v>29</v>
      </c>
      <c r="D59" s="24"/>
      <c r="E59" s="24"/>
      <c r="F59" s="25">
        <f t="shared" si="7"/>
        <v>0</v>
      </c>
      <c r="G59" s="24">
        <f t="shared" si="9"/>
        <v>5087235.0799999991</v>
      </c>
      <c r="H59" s="12">
        <v>0</v>
      </c>
      <c r="I59" s="26">
        <v>0</v>
      </c>
      <c r="J59" s="22"/>
    </row>
    <row r="60" spans="2:10" hidden="1" x14ac:dyDescent="0.3">
      <c r="B60" s="11">
        <v>18</v>
      </c>
      <c r="C60" s="17" t="s">
        <v>30</v>
      </c>
      <c r="D60" s="24"/>
      <c r="E60" s="24"/>
      <c r="F60" s="25">
        <f t="shared" si="7"/>
        <v>0</v>
      </c>
      <c r="G60" s="24">
        <f t="shared" si="9"/>
        <v>5087235.0799999991</v>
      </c>
      <c r="H60" s="12">
        <v>0</v>
      </c>
      <c r="I60" s="26">
        <v>0</v>
      </c>
      <c r="J60" s="22"/>
    </row>
    <row r="61" spans="2:10" hidden="1" x14ac:dyDescent="0.3">
      <c r="B61" s="11">
        <v>19</v>
      </c>
      <c r="C61" s="17" t="s">
        <v>31</v>
      </c>
      <c r="D61" s="24"/>
      <c r="E61" s="24"/>
      <c r="F61" s="25">
        <f t="shared" si="7"/>
        <v>0</v>
      </c>
      <c r="G61" s="24">
        <f t="shared" si="9"/>
        <v>5087235.0799999991</v>
      </c>
      <c r="H61" s="12">
        <v>0</v>
      </c>
      <c r="I61" s="26">
        <v>0</v>
      </c>
      <c r="J61" s="22"/>
    </row>
    <row r="62" spans="2:10" hidden="1" x14ac:dyDescent="0.3">
      <c r="B62" s="11">
        <v>20</v>
      </c>
      <c r="C62" s="17" t="s">
        <v>32</v>
      </c>
      <c r="D62" s="24"/>
      <c r="E62" s="24"/>
      <c r="F62" s="25">
        <f t="shared" si="7"/>
        <v>0</v>
      </c>
      <c r="G62" s="24">
        <f t="shared" si="9"/>
        <v>5087235.0799999991</v>
      </c>
      <c r="H62" s="12">
        <v>0</v>
      </c>
      <c r="I62" s="26">
        <v>0</v>
      </c>
      <c r="J62" s="22"/>
    </row>
    <row r="63" spans="2:10" hidden="1" x14ac:dyDescent="0.3">
      <c r="B63" s="11">
        <v>21</v>
      </c>
      <c r="C63" s="17" t="s">
        <v>33</v>
      </c>
      <c r="D63" s="24"/>
      <c r="E63" s="24"/>
      <c r="F63" s="25">
        <f t="shared" si="7"/>
        <v>0</v>
      </c>
      <c r="G63" s="24">
        <f t="shared" si="9"/>
        <v>5087235.0799999991</v>
      </c>
      <c r="H63" s="12">
        <v>0</v>
      </c>
      <c r="I63" s="26">
        <v>0</v>
      </c>
      <c r="J63" s="22"/>
    </row>
    <row r="64" spans="2:10" hidden="1" x14ac:dyDescent="0.3">
      <c r="B64" s="11">
        <v>22</v>
      </c>
      <c r="C64" s="17" t="s">
        <v>34</v>
      </c>
      <c r="D64" s="24"/>
      <c r="E64" s="24"/>
      <c r="F64" s="25">
        <f t="shared" si="7"/>
        <v>0</v>
      </c>
      <c r="G64" s="24">
        <f t="shared" si="9"/>
        <v>5087235.0799999991</v>
      </c>
      <c r="H64" s="12">
        <v>0</v>
      </c>
      <c r="I64" s="26">
        <v>0</v>
      </c>
      <c r="J64" s="22"/>
    </row>
    <row r="65" spans="2:10" hidden="1" x14ac:dyDescent="0.3">
      <c r="B65" s="11">
        <v>23</v>
      </c>
      <c r="C65" s="17" t="s">
        <v>35</v>
      </c>
      <c r="D65" s="24"/>
      <c r="E65" s="24"/>
      <c r="F65" s="25">
        <f t="shared" si="7"/>
        <v>0</v>
      </c>
      <c r="G65" s="24">
        <f t="shared" si="9"/>
        <v>5087235.0799999991</v>
      </c>
      <c r="H65" s="12">
        <v>0</v>
      </c>
      <c r="I65" s="26">
        <v>0</v>
      </c>
      <c r="J65" s="22"/>
    </row>
    <row r="66" spans="2:10" hidden="1" x14ac:dyDescent="0.3">
      <c r="B66" s="11">
        <v>24</v>
      </c>
      <c r="C66" s="17" t="s">
        <v>36</v>
      </c>
      <c r="D66" s="24"/>
      <c r="E66" s="24"/>
      <c r="F66" s="25">
        <f t="shared" si="7"/>
        <v>0</v>
      </c>
      <c r="G66" s="24">
        <f t="shared" si="9"/>
        <v>5087235.0799999991</v>
      </c>
      <c r="H66" s="12">
        <v>0</v>
      </c>
      <c r="I66" s="26">
        <v>0</v>
      </c>
      <c r="J66" s="22"/>
    </row>
    <row r="67" spans="2:10" hidden="1" x14ac:dyDescent="0.3">
      <c r="B67" s="11">
        <v>25</v>
      </c>
      <c r="C67" s="18" t="s">
        <v>37</v>
      </c>
      <c r="D67" s="24"/>
      <c r="E67" s="24"/>
      <c r="F67" s="25">
        <f t="shared" si="7"/>
        <v>0</v>
      </c>
      <c r="G67" s="24">
        <f t="shared" si="9"/>
        <v>5087235.0799999991</v>
      </c>
      <c r="H67" s="12">
        <v>0</v>
      </c>
      <c r="I67" s="26">
        <v>0</v>
      </c>
      <c r="J67" s="22"/>
    </row>
    <row r="68" spans="2:10" hidden="1" x14ac:dyDescent="0.3">
      <c r="B68" s="28">
        <v>26</v>
      </c>
      <c r="C68" s="29" t="s">
        <v>38</v>
      </c>
      <c r="D68" s="30"/>
      <c r="E68" s="30"/>
      <c r="F68" s="31">
        <f t="shared" si="7"/>
        <v>0</v>
      </c>
      <c r="G68" s="30">
        <f t="shared" si="9"/>
        <v>5087235.0799999991</v>
      </c>
      <c r="H68" s="32">
        <v>0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39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40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41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42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69" t="s">
        <v>45</v>
      </c>
      <c r="E76" s="169"/>
      <c r="F76" s="169"/>
      <c r="G76" s="169"/>
      <c r="H76" s="169"/>
      <c r="I76" s="169"/>
      <c r="J76" s="10"/>
    </row>
    <row r="77" spans="2:10" s="37" customFormat="1" ht="15.6" x14ac:dyDescent="0.3">
      <c r="B77" s="27"/>
      <c r="C77" s="27"/>
      <c r="D77" s="170" t="s">
        <v>48</v>
      </c>
      <c r="E77" s="170"/>
      <c r="F77" s="170"/>
      <c r="G77" s="170"/>
      <c r="H77" s="170"/>
      <c r="I77" s="170"/>
      <c r="J77" s="27"/>
    </row>
    <row r="78" spans="2:10" ht="15.9" customHeight="1" x14ac:dyDescent="0.3">
      <c r="B78" s="128" t="s">
        <v>84</v>
      </c>
      <c r="C78" s="128"/>
      <c r="D78" s="128"/>
      <c r="E78" s="128"/>
      <c r="F78" s="128"/>
      <c r="G78" s="128"/>
      <c r="H78" s="128"/>
      <c r="I78" s="128"/>
      <c r="J78" s="128"/>
    </row>
    <row r="79" spans="2:10" ht="14.4" customHeight="1" x14ac:dyDescent="0.3">
      <c r="B79" s="15"/>
      <c r="C79" s="16"/>
      <c r="D79" s="152" t="s">
        <v>6</v>
      </c>
      <c r="E79" s="153"/>
      <c r="F79" s="153"/>
      <c r="G79" s="154"/>
      <c r="H79" s="155" t="s">
        <v>7</v>
      </c>
      <c r="I79" s="156"/>
      <c r="J79" s="4"/>
    </row>
    <row r="80" spans="2:10" x14ac:dyDescent="0.3">
      <c r="B80" s="13"/>
      <c r="C80" s="14"/>
      <c r="D80" s="159" t="s">
        <v>9</v>
      </c>
      <c r="E80" s="160"/>
      <c r="F80" s="160"/>
      <c r="G80" s="161"/>
      <c r="H80" s="157"/>
      <c r="I80" s="158"/>
      <c r="J80" s="4"/>
    </row>
    <row r="81" spans="2:10" ht="14.4" customHeight="1" x14ac:dyDescent="0.3">
      <c r="B81" s="132" t="s">
        <v>10</v>
      </c>
      <c r="C81" s="134" t="s">
        <v>11</v>
      </c>
      <c r="D81" s="19" t="s">
        <v>12</v>
      </c>
      <c r="E81" s="19" t="s">
        <v>13</v>
      </c>
      <c r="F81" s="19" t="s">
        <v>14</v>
      </c>
      <c r="G81" s="19" t="s">
        <v>15</v>
      </c>
      <c r="H81" s="162" t="s">
        <v>16</v>
      </c>
      <c r="I81" s="134" t="s">
        <v>17</v>
      </c>
      <c r="J81" s="20"/>
    </row>
    <row r="82" spans="2:10" ht="39" customHeight="1" x14ac:dyDescent="0.3">
      <c r="B82" s="133"/>
      <c r="C82" s="135"/>
      <c r="D82" s="164" t="s">
        <v>20</v>
      </c>
      <c r="E82" s="165"/>
      <c r="F82" s="165"/>
      <c r="G82" s="166"/>
      <c r="H82" s="163"/>
      <c r="I82" s="135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e">
        <f t="shared" ref="H83:H105" si="10">((G83-I83)/I83)*100</f>
        <v>#DIV/0!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108465.11</v>
      </c>
      <c r="E84" s="26">
        <v>0</v>
      </c>
      <c r="F84" s="49">
        <f>+E84+D84</f>
        <v>108465.11</v>
      </c>
      <c r="G84" s="26">
        <f>+G83+F84</f>
        <v>108465.11</v>
      </c>
      <c r="H84" s="50">
        <f t="shared" si="10"/>
        <v>417.09049944603464</v>
      </c>
      <c r="I84" s="26">
        <v>20976.04</v>
      </c>
      <c r="J84" s="22"/>
    </row>
    <row r="85" spans="2:10" x14ac:dyDescent="0.3">
      <c r="B85" s="42">
        <v>6</v>
      </c>
      <c r="C85" s="40" t="s">
        <v>23</v>
      </c>
      <c r="D85" s="26">
        <v>47860.06</v>
      </c>
      <c r="E85" s="26">
        <v>0</v>
      </c>
      <c r="F85" s="49">
        <f>+E85+D85</f>
        <v>47860.06</v>
      </c>
      <c r="G85" s="26">
        <f t="shared" ref="G85" si="11">+G84+F85</f>
        <v>156325.16999999998</v>
      </c>
      <c r="H85" s="50">
        <f t="shared" si="10"/>
        <v>420.20735061421487</v>
      </c>
      <c r="I85" s="26">
        <f>+I84+9074.51</f>
        <v>30050.550000000003</v>
      </c>
      <c r="J85" s="22"/>
    </row>
    <row r="86" spans="2:10" x14ac:dyDescent="0.3">
      <c r="B86" s="42">
        <v>7</v>
      </c>
      <c r="C86" s="40" t="s">
        <v>24</v>
      </c>
      <c r="D86" s="26">
        <v>62863.09</v>
      </c>
      <c r="E86" s="26">
        <v>12264</v>
      </c>
      <c r="F86" s="49">
        <f t="shared" ref="F86:F105" si="12">+E86+D86</f>
        <v>75127.09</v>
      </c>
      <c r="G86" s="26">
        <f>+G85+F86</f>
        <v>231452.25999999998</v>
      </c>
      <c r="H86" s="50">
        <f t="shared" si="10"/>
        <v>438.93699702906446</v>
      </c>
      <c r="I86" s="26">
        <f>+I85+12895.52</f>
        <v>42946.070000000007</v>
      </c>
      <c r="J86" s="22"/>
    </row>
    <row r="87" spans="2:10" x14ac:dyDescent="0.3">
      <c r="B87" s="42">
        <v>8</v>
      </c>
      <c r="C87" s="40" t="s">
        <v>25</v>
      </c>
      <c r="D87" s="26">
        <v>59478.51</v>
      </c>
      <c r="E87" s="26">
        <v>0</v>
      </c>
      <c r="F87" s="49">
        <f t="shared" si="12"/>
        <v>59478.51</v>
      </c>
      <c r="G87" s="26">
        <f t="shared" ref="G87:G93" si="13">+G86+F87</f>
        <v>290930.76999999996</v>
      </c>
      <c r="H87" s="50">
        <f t="shared" si="10"/>
        <v>135.06026044249188</v>
      </c>
      <c r="I87" s="26">
        <v>123768.59</v>
      </c>
      <c r="J87" s="22"/>
    </row>
    <row r="88" spans="2:10" x14ac:dyDescent="0.3">
      <c r="B88" s="42">
        <v>9</v>
      </c>
      <c r="C88" s="40" t="s">
        <v>26</v>
      </c>
      <c r="D88" s="26">
        <v>163305.13</v>
      </c>
      <c r="E88" s="26">
        <v>0</v>
      </c>
      <c r="F88" s="49">
        <f t="shared" si="12"/>
        <v>163305.13</v>
      </c>
      <c r="G88" s="26">
        <f t="shared" si="13"/>
        <v>454235.89999999997</v>
      </c>
      <c r="H88" s="50">
        <f t="shared" si="10"/>
        <v>190.41064028567189</v>
      </c>
      <c r="I88" s="26">
        <f>+I87+32643</f>
        <v>156411.59</v>
      </c>
      <c r="J88" s="22"/>
    </row>
    <row r="89" spans="2:10" x14ac:dyDescent="0.3">
      <c r="B89" s="42">
        <v>10</v>
      </c>
      <c r="C89" s="40" t="s">
        <v>67</v>
      </c>
      <c r="D89" s="26">
        <v>83454.539999999994</v>
      </c>
      <c r="E89" s="26">
        <v>0</v>
      </c>
      <c r="F89" s="49">
        <f t="shared" si="12"/>
        <v>83454.539999999994</v>
      </c>
      <c r="G89" s="26">
        <f t="shared" si="13"/>
        <v>537690.43999999994</v>
      </c>
      <c r="H89" s="50">
        <f t="shared" si="10"/>
        <v>80.388154437013526</v>
      </c>
      <c r="I89" s="26">
        <f>+I88+141662.55</f>
        <v>298074.14</v>
      </c>
      <c r="J89" s="22"/>
    </row>
    <row r="90" spans="2:10" x14ac:dyDescent="0.3">
      <c r="B90" s="42">
        <v>11</v>
      </c>
      <c r="C90" s="40" t="s">
        <v>68</v>
      </c>
      <c r="D90" s="26">
        <v>276516.57</v>
      </c>
      <c r="E90" s="26">
        <v>0</v>
      </c>
      <c r="F90" s="49">
        <f t="shared" si="12"/>
        <v>276516.57</v>
      </c>
      <c r="G90" s="26">
        <f t="shared" si="13"/>
        <v>814207.01</v>
      </c>
      <c r="H90" s="50">
        <f t="shared" si="10"/>
        <v>118.28597387963515</v>
      </c>
      <c r="I90" s="26">
        <f>+I89+74926.01</f>
        <v>373000.15</v>
      </c>
      <c r="J90" s="22"/>
    </row>
    <row r="91" spans="2:10" x14ac:dyDescent="0.3">
      <c r="B91" s="42">
        <v>12</v>
      </c>
      <c r="C91" s="40" t="s">
        <v>83</v>
      </c>
      <c r="D91" s="26">
        <v>379700.13</v>
      </c>
      <c r="E91" s="26">
        <v>0</v>
      </c>
      <c r="F91" s="49">
        <f t="shared" si="12"/>
        <v>379700.13</v>
      </c>
      <c r="G91" s="26">
        <f t="shared" si="13"/>
        <v>1193907.1400000001</v>
      </c>
      <c r="H91" s="50">
        <f t="shared" si="10"/>
        <v>122.71388613055379</v>
      </c>
      <c r="I91" s="26">
        <f>+I90+163072.01</f>
        <v>536072.16</v>
      </c>
      <c r="J91" s="22"/>
    </row>
    <row r="92" spans="2:10" x14ac:dyDescent="0.3">
      <c r="B92" s="42">
        <v>13</v>
      </c>
      <c r="C92" s="40" t="s">
        <v>69</v>
      </c>
      <c r="D92" s="26">
        <v>341276.63</v>
      </c>
      <c r="E92" s="26">
        <v>0</v>
      </c>
      <c r="F92" s="49">
        <f t="shared" si="12"/>
        <v>341276.63</v>
      </c>
      <c r="G92" s="26">
        <f t="shared" si="13"/>
        <v>1535183.77</v>
      </c>
      <c r="H92" s="50">
        <f t="shared" si="10"/>
        <v>167.26531747902143</v>
      </c>
      <c r="I92" s="26">
        <v>574404.41</v>
      </c>
      <c r="J92" s="22"/>
    </row>
    <row r="93" spans="2:10" x14ac:dyDescent="0.3">
      <c r="B93" s="42">
        <v>14</v>
      </c>
      <c r="C93" s="86" t="s">
        <v>70</v>
      </c>
      <c r="D93" s="26">
        <v>56280.05</v>
      </c>
      <c r="E93" s="26">
        <v>0</v>
      </c>
      <c r="F93" s="49">
        <f t="shared" si="12"/>
        <v>56280.05</v>
      </c>
      <c r="G93" s="26">
        <f t="shared" si="13"/>
        <v>1591463.82</v>
      </c>
      <c r="H93" s="50">
        <f t="shared" si="10"/>
        <v>167.01879497676481</v>
      </c>
      <c r="I93" s="26">
        <f>+I92+21607.5</f>
        <v>596011.91</v>
      </c>
      <c r="J93" s="22"/>
    </row>
    <row r="94" spans="2:10" hidden="1" x14ac:dyDescent="0.3">
      <c r="B94" s="11">
        <v>15</v>
      </c>
      <c r="C94" s="17" t="s">
        <v>27</v>
      </c>
      <c r="D94" s="24"/>
      <c r="E94" s="24"/>
      <c r="F94" s="25">
        <f t="shared" si="12"/>
        <v>0</v>
      </c>
      <c r="G94" s="24">
        <f t="shared" ref="G94:G105" si="14">+G93+F94</f>
        <v>1591463.82</v>
      </c>
      <c r="H94" s="50" t="e">
        <f t="shared" si="10"/>
        <v>#DIV/0!</v>
      </c>
      <c r="I94" s="26">
        <v>0</v>
      </c>
      <c r="J94" s="22"/>
    </row>
    <row r="95" spans="2:10" hidden="1" x14ac:dyDescent="0.3">
      <c r="B95" s="11">
        <v>16</v>
      </c>
      <c r="C95" s="17" t="s">
        <v>28</v>
      </c>
      <c r="D95" s="24"/>
      <c r="E95" s="24"/>
      <c r="F95" s="25">
        <f t="shared" si="12"/>
        <v>0</v>
      </c>
      <c r="G95" s="24">
        <f t="shared" si="14"/>
        <v>1591463.82</v>
      </c>
      <c r="H95" s="50" t="e">
        <f t="shared" si="10"/>
        <v>#DIV/0!</v>
      </c>
      <c r="I95" s="26">
        <v>0</v>
      </c>
      <c r="J95" s="22"/>
    </row>
    <row r="96" spans="2:10" hidden="1" x14ac:dyDescent="0.3">
      <c r="B96" s="11">
        <v>17</v>
      </c>
      <c r="C96" s="17" t="s">
        <v>29</v>
      </c>
      <c r="D96" s="24"/>
      <c r="E96" s="24"/>
      <c r="F96" s="25">
        <f t="shared" si="12"/>
        <v>0</v>
      </c>
      <c r="G96" s="24">
        <f t="shared" si="14"/>
        <v>1591463.82</v>
      </c>
      <c r="H96" s="50" t="e">
        <f t="shared" si="10"/>
        <v>#DIV/0!</v>
      </c>
      <c r="I96" s="26">
        <v>0</v>
      </c>
      <c r="J96" s="22"/>
    </row>
    <row r="97" spans="2:10" hidden="1" x14ac:dyDescent="0.3">
      <c r="B97" s="11">
        <v>18</v>
      </c>
      <c r="C97" s="17" t="s">
        <v>30</v>
      </c>
      <c r="D97" s="24"/>
      <c r="E97" s="24"/>
      <c r="F97" s="25">
        <f t="shared" si="12"/>
        <v>0</v>
      </c>
      <c r="G97" s="24">
        <f t="shared" si="14"/>
        <v>1591463.82</v>
      </c>
      <c r="H97" s="50" t="e">
        <f t="shared" si="10"/>
        <v>#DIV/0!</v>
      </c>
      <c r="I97" s="26">
        <v>0</v>
      </c>
      <c r="J97" s="22"/>
    </row>
    <row r="98" spans="2:10" hidden="1" x14ac:dyDescent="0.3">
      <c r="B98" s="11">
        <v>19</v>
      </c>
      <c r="C98" s="17" t="s">
        <v>31</v>
      </c>
      <c r="D98" s="24"/>
      <c r="E98" s="24"/>
      <c r="F98" s="25">
        <f t="shared" si="12"/>
        <v>0</v>
      </c>
      <c r="G98" s="24">
        <f t="shared" si="14"/>
        <v>1591463.82</v>
      </c>
      <c r="H98" s="50" t="e">
        <f t="shared" si="10"/>
        <v>#DIV/0!</v>
      </c>
      <c r="I98" s="26">
        <v>0</v>
      </c>
      <c r="J98" s="22"/>
    </row>
    <row r="99" spans="2:10" hidden="1" x14ac:dyDescent="0.3">
      <c r="B99" s="11">
        <v>20</v>
      </c>
      <c r="C99" s="17" t="s">
        <v>32</v>
      </c>
      <c r="D99" s="24"/>
      <c r="E99" s="24"/>
      <c r="F99" s="25">
        <f t="shared" si="12"/>
        <v>0</v>
      </c>
      <c r="G99" s="24">
        <f t="shared" si="14"/>
        <v>1591463.82</v>
      </c>
      <c r="H99" s="50" t="e">
        <f t="shared" si="10"/>
        <v>#DIV/0!</v>
      </c>
      <c r="I99" s="26">
        <v>0</v>
      </c>
      <c r="J99" s="22"/>
    </row>
    <row r="100" spans="2:10" hidden="1" x14ac:dyDescent="0.3">
      <c r="B100" s="11">
        <v>21</v>
      </c>
      <c r="C100" s="17" t="s">
        <v>33</v>
      </c>
      <c r="D100" s="24"/>
      <c r="E100" s="24"/>
      <c r="F100" s="25">
        <f t="shared" si="12"/>
        <v>0</v>
      </c>
      <c r="G100" s="24">
        <f t="shared" si="14"/>
        <v>1591463.82</v>
      </c>
      <c r="H100" s="50" t="e">
        <f t="shared" si="10"/>
        <v>#DIV/0!</v>
      </c>
      <c r="I100" s="26">
        <v>0</v>
      </c>
      <c r="J100" s="22"/>
    </row>
    <row r="101" spans="2:10" hidden="1" x14ac:dyDescent="0.3">
      <c r="B101" s="11">
        <v>22</v>
      </c>
      <c r="C101" s="17" t="s">
        <v>34</v>
      </c>
      <c r="D101" s="24"/>
      <c r="E101" s="24"/>
      <c r="F101" s="25">
        <f t="shared" si="12"/>
        <v>0</v>
      </c>
      <c r="G101" s="24">
        <f t="shared" si="14"/>
        <v>1591463.82</v>
      </c>
      <c r="H101" s="50" t="e">
        <f t="shared" si="10"/>
        <v>#DIV/0!</v>
      </c>
      <c r="I101" s="26">
        <v>0</v>
      </c>
      <c r="J101" s="22"/>
    </row>
    <row r="102" spans="2:10" hidden="1" x14ac:dyDescent="0.3">
      <c r="B102" s="11">
        <v>23</v>
      </c>
      <c r="C102" s="17" t="s">
        <v>35</v>
      </c>
      <c r="D102" s="24"/>
      <c r="E102" s="24"/>
      <c r="F102" s="25">
        <f t="shared" si="12"/>
        <v>0</v>
      </c>
      <c r="G102" s="24">
        <f t="shared" si="14"/>
        <v>1591463.82</v>
      </c>
      <c r="H102" s="50" t="e">
        <f t="shared" si="10"/>
        <v>#DIV/0!</v>
      </c>
      <c r="I102" s="26">
        <v>0</v>
      </c>
      <c r="J102" s="22"/>
    </row>
    <row r="103" spans="2:10" hidden="1" x14ac:dyDescent="0.3">
      <c r="B103" s="11">
        <v>24</v>
      </c>
      <c r="C103" s="17" t="s">
        <v>36</v>
      </c>
      <c r="D103" s="24"/>
      <c r="E103" s="24"/>
      <c r="F103" s="25">
        <f t="shared" si="12"/>
        <v>0</v>
      </c>
      <c r="G103" s="24">
        <f t="shared" si="14"/>
        <v>1591463.82</v>
      </c>
      <c r="H103" s="50" t="e">
        <f t="shared" si="10"/>
        <v>#DIV/0!</v>
      </c>
      <c r="I103" s="26">
        <v>0</v>
      </c>
      <c r="J103" s="22"/>
    </row>
    <row r="104" spans="2:10" hidden="1" x14ac:dyDescent="0.3">
      <c r="B104" s="11">
        <v>25</v>
      </c>
      <c r="C104" s="18" t="s">
        <v>37</v>
      </c>
      <c r="D104" s="24"/>
      <c r="E104" s="24"/>
      <c r="F104" s="25">
        <f t="shared" si="12"/>
        <v>0</v>
      </c>
      <c r="G104" s="24">
        <f t="shared" si="14"/>
        <v>1591463.82</v>
      </c>
      <c r="H104" s="50" t="e">
        <f t="shared" si="10"/>
        <v>#DIV/0!</v>
      </c>
      <c r="I104" s="26">
        <v>0</v>
      </c>
      <c r="J104" s="22"/>
    </row>
    <row r="105" spans="2:10" hidden="1" x14ac:dyDescent="0.3">
      <c r="B105" s="28">
        <v>26</v>
      </c>
      <c r="C105" s="29" t="s">
        <v>38</v>
      </c>
      <c r="D105" s="30"/>
      <c r="E105" s="30"/>
      <c r="F105" s="31">
        <f t="shared" si="12"/>
        <v>0</v>
      </c>
      <c r="G105" s="30">
        <f t="shared" si="14"/>
        <v>1591463.82</v>
      </c>
      <c r="H105" s="50" t="e">
        <f t="shared" si="10"/>
        <v>#DIV/0!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39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40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41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42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171" t="s">
        <v>46</v>
      </c>
      <c r="E113" s="171"/>
      <c r="F113" s="171"/>
      <c r="G113" s="171"/>
      <c r="H113" s="171"/>
      <c r="I113" s="171"/>
      <c r="J113" s="10"/>
    </row>
    <row r="114" spans="2:10" s="37" customFormat="1" ht="15.6" x14ac:dyDescent="0.3">
      <c r="B114" s="27"/>
      <c r="C114" s="27"/>
      <c r="D114" s="172" t="s">
        <v>48</v>
      </c>
      <c r="E114" s="172"/>
      <c r="F114" s="172"/>
      <c r="G114" s="172"/>
      <c r="H114" s="172"/>
      <c r="I114" s="172"/>
      <c r="J114" s="27"/>
    </row>
    <row r="115" spans="2:10" ht="15.9" customHeight="1" x14ac:dyDescent="0.3">
      <c r="B115" s="128" t="s">
        <v>84</v>
      </c>
      <c r="C115" s="128"/>
      <c r="D115" s="128"/>
      <c r="E115" s="128"/>
      <c r="F115" s="128"/>
      <c r="G115" s="128"/>
      <c r="H115" s="128"/>
      <c r="I115" s="128"/>
      <c r="J115" s="128"/>
    </row>
    <row r="116" spans="2:10" ht="14.4" customHeight="1" x14ac:dyDescent="0.3">
      <c r="B116" s="15"/>
      <c r="C116" s="16"/>
      <c r="D116" s="152" t="s">
        <v>6</v>
      </c>
      <c r="E116" s="153"/>
      <c r="F116" s="153"/>
      <c r="G116" s="154"/>
      <c r="H116" s="155" t="s">
        <v>7</v>
      </c>
      <c r="I116" s="156"/>
      <c r="J116" s="4"/>
    </row>
    <row r="117" spans="2:10" x14ac:dyDescent="0.3">
      <c r="B117" s="13"/>
      <c r="C117" s="14"/>
      <c r="D117" s="159" t="s">
        <v>9</v>
      </c>
      <c r="E117" s="160"/>
      <c r="F117" s="160"/>
      <c r="G117" s="161"/>
      <c r="H117" s="157"/>
      <c r="I117" s="158"/>
      <c r="J117" s="4"/>
    </row>
    <row r="118" spans="2:10" ht="14.4" customHeight="1" x14ac:dyDescent="0.3">
      <c r="B118" s="132" t="s">
        <v>10</v>
      </c>
      <c r="C118" s="134" t="s">
        <v>11</v>
      </c>
      <c r="D118" s="19" t="s">
        <v>12</v>
      </c>
      <c r="E118" s="19" t="s">
        <v>13</v>
      </c>
      <c r="F118" s="19" t="s">
        <v>14</v>
      </c>
      <c r="G118" s="19" t="s">
        <v>15</v>
      </c>
      <c r="H118" s="162" t="s">
        <v>16</v>
      </c>
      <c r="I118" s="134" t="s">
        <v>17</v>
      </c>
      <c r="J118" s="20"/>
    </row>
    <row r="119" spans="2:10" ht="39" customHeight="1" x14ac:dyDescent="0.3">
      <c r="B119" s="133"/>
      <c r="C119" s="135"/>
      <c r="D119" s="164" t="s">
        <v>20</v>
      </c>
      <c r="E119" s="165"/>
      <c r="F119" s="165"/>
      <c r="G119" s="166"/>
      <c r="H119" s="163"/>
      <c r="I119" s="135"/>
      <c r="J119" s="20"/>
    </row>
    <row r="120" spans="2:10" x14ac:dyDescent="0.3">
      <c r="B120" s="42">
        <v>4</v>
      </c>
      <c r="C120" s="40" t="s">
        <v>21</v>
      </c>
      <c r="D120" s="21">
        <v>60654</v>
      </c>
      <c r="E120" s="21">
        <v>0</v>
      </c>
      <c r="F120" s="45">
        <f>+D120+E120</f>
        <v>60654</v>
      </c>
      <c r="G120" s="21">
        <f>+F120</f>
        <v>60654</v>
      </c>
      <c r="H120" s="46" t="e">
        <f t="shared" ref="H120:H130" si="15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66559.11</v>
      </c>
      <c r="E121" s="26">
        <v>0</v>
      </c>
      <c r="F121" s="49">
        <f>+E121+D121</f>
        <v>66559.11</v>
      </c>
      <c r="G121" s="26">
        <f>+G120+F121</f>
        <v>127213.11</v>
      </c>
      <c r="H121" s="50">
        <f t="shared" si="15"/>
        <v>16.622022697697268</v>
      </c>
      <c r="I121" s="26">
        <v>109081.55</v>
      </c>
      <c r="J121" s="22"/>
    </row>
    <row r="122" spans="2:10" x14ac:dyDescent="0.3">
      <c r="B122" s="42">
        <v>6</v>
      </c>
      <c r="C122" s="40" t="s">
        <v>23</v>
      </c>
      <c r="D122" s="26">
        <v>46007.58</v>
      </c>
      <c r="E122" s="26">
        <v>0</v>
      </c>
      <c r="F122" s="49">
        <f>+E122+D122</f>
        <v>46007.58</v>
      </c>
      <c r="G122" s="26">
        <f t="shared" ref="G122" si="16">+G121+F122</f>
        <v>173220.69</v>
      </c>
      <c r="H122" s="50">
        <f t="shared" si="15"/>
        <v>27.980692591334925</v>
      </c>
      <c r="I122" s="26">
        <f>+I121+26267.53</f>
        <v>135349.08000000002</v>
      </c>
      <c r="J122" s="22"/>
    </row>
    <row r="123" spans="2:10" x14ac:dyDescent="0.3">
      <c r="B123" s="42">
        <v>7</v>
      </c>
      <c r="C123" s="40" t="s">
        <v>24</v>
      </c>
      <c r="D123" s="26">
        <v>45522.05</v>
      </c>
      <c r="E123" s="26">
        <v>0</v>
      </c>
      <c r="F123" s="49">
        <f t="shared" ref="F123:F142" si="17">+E123+D123</f>
        <v>45522.05</v>
      </c>
      <c r="G123" s="26">
        <f>+G122+F123</f>
        <v>218742.74</v>
      </c>
      <c r="H123" s="50">
        <f t="shared" si="15"/>
        <v>54.965705216896112</v>
      </c>
      <c r="I123" s="26">
        <f>+I122+5806.5</f>
        <v>141155.58000000002</v>
      </c>
      <c r="J123" s="22"/>
    </row>
    <row r="124" spans="2:10" x14ac:dyDescent="0.3">
      <c r="B124" s="42">
        <v>8</v>
      </c>
      <c r="C124" s="40" t="s">
        <v>25</v>
      </c>
      <c r="D124" s="26">
        <v>156828.70000000001</v>
      </c>
      <c r="E124" s="26">
        <v>0</v>
      </c>
      <c r="F124" s="49">
        <f t="shared" si="17"/>
        <v>156828.70000000001</v>
      </c>
      <c r="G124" s="26">
        <f t="shared" ref="G124:G130" si="18">+G123+F124</f>
        <v>375571.44</v>
      </c>
      <c r="H124" s="50">
        <f t="shared" si="15"/>
        <v>165.41198379591745</v>
      </c>
      <c r="I124" s="26">
        <v>141505.07999999999</v>
      </c>
      <c r="J124" s="22"/>
    </row>
    <row r="125" spans="2:10" x14ac:dyDescent="0.3">
      <c r="B125" s="42">
        <v>9</v>
      </c>
      <c r="C125" s="40" t="s">
        <v>26</v>
      </c>
      <c r="D125" s="26">
        <v>65850.63</v>
      </c>
      <c r="E125" s="26">
        <v>0</v>
      </c>
      <c r="F125" s="49">
        <f t="shared" si="17"/>
        <v>65850.63</v>
      </c>
      <c r="G125" s="26">
        <f t="shared" si="18"/>
        <v>441422.07</v>
      </c>
      <c r="H125" s="50">
        <f t="shared" si="15"/>
        <v>177.90432963874622</v>
      </c>
      <c r="I125" s="26">
        <f>+I124+17334.5</f>
        <v>158839.57999999999</v>
      </c>
      <c r="J125" s="22"/>
    </row>
    <row r="126" spans="2:10" x14ac:dyDescent="0.3">
      <c r="B126" s="42">
        <v>10</v>
      </c>
      <c r="C126" s="40" t="s">
        <v>67</v>
      </c>
      <c r="D126" s="26">
        <v>22649.07</v>
      </c>
      <c r="E126" s="26">
        <v>0</v>
      </c>
      <c r="F126" s="49">
        <f t="shared" si="17"/>
        <v>22649.07</v>
      </c>
      <c r="G126" s="26">
        <f t="shared" si="18"/>
        <v>464071.14</v>
      </c>
      <c r="H126" s="50">
        <f t="shared" si="15"/>
        <v>181.45296986828569</v>
      </c>
      <c r="I126" s="26">
        <f>+I125+6044.5</f>
        <v>164884.07999999999</v>
      </c>
      <c r="J126" s="22"/>
    </row>
    <row r="127" spans="2:10" x14ac:dyDescent="0.3">
      <c r="B127" s="42">
        <v>11</v>
      </c>
      <c r="C127" s="40" t="s">
        <v>68</v>
      </c>
      <c r="D127" s="26">
        <v>79494.600000000006</v>
      </c>
      <c r="E127" s="26">
        <v>0</v>
      </c>
      <c r="F127" s="49">
        <f t="shared" si="17"/>
        <v>79494.600000000006</v>
      </c>
      <c r="G127" s="26">
        <f t="shared" si="18"/>
        <v>543565.74</v>
      </c>
      <c r="H127" s="50">
        <f t="shared" si="15"/>
        <v>186.32293563348651</v>
      </c>
      <c r="I127" s="26">
        <f>+I126+24959.51</f>
        <v>189843.59</v>
      </c>
      <c r="J127" s="22"/>
    </row>
    <row r="128" spans="2:10" x14ac:dyDescent="0.3">
      <c r="B128" s="42">
        <v>12</v>
      </c>
      <c r="C128" s="40" t="s">
        <v>83</v>
      </c>
      <c r="D128" s="26">
        <v>32327.05</v>
      </c>
      <c r="E128" s="26">
        <v>0</v>
      </c>
      <c r="F128" s="49">
        <f t="shared" si="17"/>
        <v>32327.05</v>
      </c>
      <c r="G128" s="26">
        <f t="shared" si="18"/>
        <v>575892.79</v>
      </c>
      <c r="H128" s="50">
        <f t="shared" si="15"/>
        <v>148.63247834465599</v>
      </c>
      <c r="I128" s="26">
        <f>+I127+41780.53</f>
        <v>231624.12</v>
      </c>
      <c r="J128" s="22"/>
    </row>
    <row r="129" spans="2:10" x14ac:dyDescent="0.3">
      <c r="B129" s="42">
        <v>13</v>
      </c>
      <c r="C129" s="40" t="s">
        <v>69</v>
      </c>
      <c r="D129" s="26">
        <v>39019.519999999997</v>
      </c>
      <c r="E129" s="26">
        <v>0</v>
      </c>
      <c r="F129" s="49">
        <f t="shared" si="17"/>
        <v>39019.519999999997</v>
      </c>
      <c r="G129" s="26">
        <f t="shared" si="18"/>
        <v>614912.31000000006</v>
      </c>
      <c r="H129" s="50">
        <f t="shared" si="15"/>
        <v>165.47853047428742</v>
      </c>
      <c r="I129" s="26">
        <v>231624.12</v>
      </c>
      <c r="J129" s="22"/>
    </row>
    <row r="130" spans="2:10" x14ac:dyDescent="0.3">
      <c r="B130" s="42">
        <v>14</v>
      </c>
      <c r="C130" s="86" t="s">
        <v>70</v>
      </c>
      <c r="D130" s="26">
        <v>51537.03</v>
      </c>
      <c r="E130" s="26">
        <v>0</v>
      </c>
      <c r="F130" s="49">
        <f t="shared" si="17"/>
        <v>51537.03</v>
      </c>
      <c r="G130" s="26">
        <f t="shared" si="18"/>
        <v>666449.34000000008</v>
      </c>
      <c r="H130" s="50">
        <f t="shared" si="15"/>
        <v>187.72881684342724</v>
      </c>
      <c r="I130" s="26">
        <f>+I129+0</f>
        <v>231624.12</v>
      </c>
      <c r="J130" s="22"/>
    </row>
    <row r="131" spans="2:10" hidden="1" x14ac:dyDescent="0.3">
      <c r="B131" s="11">
        <v>15</v>
      </c>
      <c r="C131" s="17" t="s">
        <v>27</v>
      </c>
      <c r="D131" s="24"/>
      <c r="E131" s="24"/>
      <c r="F131" s="25">
        <f t="shared" si="17"/>
        <v>0</v>
      </c>
      <c r="G131" s="24">
        <f t="shared" ref="G131:G142" si="19">+G130+F131</f>
        <v>666449.34000000008</v>
      </c>
      <c r="H131" s="12">
        <v>0</v>
      </c>
      <c r="I131" s="26">
        <v>0</v>
      </c>
      <c r="J131" s="22"/>
    </row>
    <row r="132" spans="2:10" hidden="1" x14ac:dyDescent="0.3">
      <c r="B132" s="11">
        <v>16</v>
      </c>
      <c r="C132" s="17" t="s">
        <v>28</v>
      </c>
      <c r="D132" s="24"/>
      <c r="E132" s="24"/>
      <c r="F132" s="25">
        <f t="shared" si="17"/>
        <v>0</v>
      </c>
      <c r="G132" s="24">
        <f t="shared" si="19"/>
        <v>666449.34000000008</v>
      </c>
      <c r="H132" s="12">
        <v>0</v>
      </c>
      <c r="I132" s="26">
        <v>0</v>
      </c>
      <c r="J132" s="22"/>
    </row>
    <row r="133" spans="2:10" hidden="1" x14ac:dyDescent="0.3">
      <c r="B133" s="11">
        <v>17</v>
      </c>
      <c r="C133" s="17" t="s">
        <v>29</v>
      </c>
      <c r="D133" s="24"/>
      <c r="E133" s="24"/>
      <c r="F133" s="25">
        <f t="shared" si="17"/>
        <v>0</v>
      </c>
      <c r="G133" s="24">
        <f t="shared" si="19"/>
        <v>666449.34000000008</v>
      </c>
      <c r="H133" s="12">
        <v>0</v>
      </c>
      <c r="I133" s="26">
        <v>0</v>
      </c>
      <c r="J133" s="22"/>
    </row>
    <row r="134" spans="2:10" hidden="1" x14ac:dyDescent="0.3">
      <c r="B134" s="11">
        <v>18</v>
      </c>
      <c r="C134" s="17" t="s">
        <v>30</v>
      </c>
      <c r="D134" s="24"/>
      <c r="E134" s="24"/>
      <c r="F134" s="25">
        <f t="shared" si="17"/>
        <v>0</v>
      </c>
      <c r="G134" s="24">
        <f t="shared" si="19"/>
        <v>666449.34000000008</v>
      </c>
      <c r="H134" s="12">
        <v>0</v>
      </c>
      <c r="I134" s="26">
        <v>0</v>
      </c>
      <c r="J134" s="22"/>
    </row>
    <row r="135" spans="2:10" hidden="1" x14ac:dyDescent="0.3">
      <c r="B135" s="11">
        <v>19</v>
      </c>
      <c r="C135" s="17" t="s">
        <v>31</v>
      </c>
      <c r="D135" s="24"/>
      <c r="E135" s="24"/>
      <c r="F135" s="25">
        <f t="shared" si="17"/>
        <v>0</v>
      </c>
      <c r="G135" s="24">
        <f t="shared" si="19"/>
        <v>666449.34000000008</v>
      </c>
      <c r="H135" s="12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32</v>
      </c>
      <c r="D136" s="24"/>
      <c r="E136" s="24"/>
      <c r="F136" s="25">
        <f t="shared" si="17"/>
        <v>0</v>
      </c>
      <c r="G136" s="24">
        <f t="shared" si="19"/>
        <v>666449.34000000008</v>
      </c>
      <c r="H136" s="12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33</v>
      </c>
      <c r="D137" s="24"/>
      <c r="E137" s="24"/>
      <c r="F137" s="25">
        <f t="shared" si="17"/>
        <v>0</v>
      </c>
      <c r="G137" s="24">
        <f t="shared" si="19"/>
        <v>666449.34000000008</v>
      </c>
      <c r="H137" s="12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34</v>
      </c>
      <c r="D138" s="24"/>
      <c r="E138" s="24"/>
      <c r="F138" s="25">
        <f t="shared" si="17"/>
        <v>0</v>
      </c>
      <c r="G138" s="24">
        <f t="shared" si="19"/>
        <v>666449.34000000008</v>
      </c>
      <c r="H138" s="12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35</v>
      </c>
      <c r="D139" s="24"/>
      <c r="E139" s="24"/>
      <c r="F139" s="25">
        <f t="shared" si="17"/>
        <v>0</v>
      </c>
      <c r="G139" s="24">
        <f t="shared" si="19"/>
        <v>666449.34000000008</v>
      </c>
      <c r="H139" s="12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36</v>
      </c>
      <c r="D140" s="24"/>
      <c r="E140" s="24"/>
      <c r="F140" s="25">
        <f t="shared" si="17"/>
        <v>0</v>
      </c>
      <c r="G140" s="24">
        <f t="shared" si="19"/>
        <v>666449.34000000008</v>
      </c>
      <c r="H140" s="12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37</v>
      </c>
      <c r="D141" s="24"/>
      <c r="E141" s="24"/>
      <c r="F141" s="25">
        <f t="shared" si="17"/>
        <v>0</v>
      </c>
      <c r="G141" s="24">
        <f t="shared" si="19"/>
        <v>666449.34000000008</v>
      </c>
      <c r="H141" s="12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38</v>
      </c>
      <c r="D142" s="30"/>
      <c r="E142" s="30"/>
      <c r="F142" s="31">
        <f t="shared" si="17"/>
        <v>0</v>
      </c>
      <c r="G142" s="30">
        <f t="shared" si="19"/>
        <v>666449.34000000008</v>
      </c>
      <c r="H142" s="32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39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40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41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42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C311-3F12-4F3A-BE59-94482012E654}">
  <sheetPr codeName="Sheet5"/>
  <dimension ref="B3:M147"/>
  <sheetViews>
    <sheetView topLeftCell="A119" workbookViewId="0">
      <selection activeCell="A131" sqref="A131:XFD142"/>
    </sheetView>
  </sheetViews>
  <sheetFormatPr defaultColWidth="9" defaultRowHeight="14.4" x14ac:dyDescent="0.3"/>
  <cols>
    <col min="1" max="1" width="2" style="3" customWidth="1"/>
    <col min="2" max="2" width="7.12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8" width="16.75" style="3" customWidth="1"/>
    <col min="9" max="9" width="13" style="3" customWidth="1"/>
    <col min="10" max="11" width="9" style="3"/>
    <col min="12" max="12" width="14.125" style="3" bestFit="1" customWidth="1"/>
    <col min="13" max="13" width="10.375" style="3" bestFit="1" customWidth="1"/>
    <col min="14" max="16384" width="9" style="3"/>
  </cols>
  <sheetData>
    <row r="3" spans="2:13" s="37" customFormat="1" ht="18" x14ac:dyDescent="0.35">
      <c r="B3" s="27"/>
      <c r="C3" s="27"/>
      <c r="D3" s="151" t="s">
        <v>49</v>
      </c>
      <c r="E3" s="151"/>
      <c r="F3" s="151"/>
      <c r="G3" s="151"/>
      <c r="H3" s="151"/>
      <c r="I3" s="151"/>
      <c r="J3" s="27"/>
      <c r="K3" s="38"/>
      <c r="L3" s="2"/>
    </row>
    <row r="4" spans="2:13" ht="15.9" customHeight="1" x14ac:dyDescent="0.3">
      <c r="B4" s="128" t="s">
        <v>84</v>
      </c>
      <c r="C4" s="128"/>
      <c r="D4" s="128"/>
      <c r="E4" s="128"/>
      <c r="F4" s="128"/>
      <c r="G4" s="128"/>
      <c r="H4" s="128"/>
      <c r="I4" s="128"/>
      <c r="J4" s="128"/>
      <c r="K4" s="1"/>
      <c r="L4" s="2"/>
    </row>
    <row r="5" spans="2:13" ht="14.4" customHeight="1" x14ac:dyDescent="0.3">
      <c r="B5" s="15"/>
      <c r="C5" s="16"/>
      <c r="D5" s="152" t="s">
        <v>6</v>
      </c>
      <c r="E5" s="153"/>
      <c r="F5" s="153"/>
      <c r="G5" s="154"/>
      <c r="H5" s="155" t="s">
        <v>7</v>
      </c>
      <c r="I5" s="156"/>
      <c r="J5" s="4"/>
      <c r="K5" s="1"/>
      <c r="L5" s="2"/>
    </row>
    <row r="6" spans="2:13" x14ac:dyDescent="0.3">
      <c r="B6" s="13"/>
      <c r="C6" s="14"/>
      <c r="D6" s="159" t="s">
        <v>9</v>
      </c>
      <c r="E6" s="160"/>
      <c r="F6" s="160"/>
      <c r="G6" s="161"/>
      <c r="H6" s="157"/>
      <c r="I6" s="158"/>
      <c r="J6" s="4"/>
      <c r="K6" s="1"/>
      <c r="L6" s="2"/>
    </row>
    <row r="7" spans="2:13" ht="18.899999999999999" customHeight="1" x14ac:dyDescent="0.3">
      <c r="B7" s="132" t="s">
        <v>10</v>
      </c>
      <c r="C7" s="134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62" t="s">
        <v>16</v>
      </c>
      <c r="I7" s="134" t="s">
        <v>17</v>
      </c>
      <c r="J7" s="20"/>
      <c r="K7" s="1"/>
      <c r="L7" s="2"/>
    </row>
    <row r="8" spans="2:13" ht="35.4" customHeight="1" x14ac:dyDescent="0.3">
      <c r="B8" s="133"/>
      <c r="C8" s="135"/>
      <c r="D8" s="164" t="s">
        <v>20</v>
      </c>
      <c r="E8" s="165"/>
      <c r="F8" s="165"/>
      <c r="G8" s="166"/>
      <c r="H8" s="163"/>
      <c r="I8" s="135"/>
      <c r="J8" s="20"/>
      <c r="K8" s="1"/>
    </row>
    <row r="9" spans="2:13" x14ac:dyDescent="0.3">
      <c r="B9" s="42">
        <v>4</v>
      </c>
      <c r="C9" s="40" t="s">
        <v>21</v>
      </c>
      <c r="D9" s="21">
        <v>281223.5</v>
      </c>
      <c r="E9" s="21">
        <v>0</v>
      </c>
      <c r="F9" s="45">
        <f>+D9+E9</f>
        <v>281223.5</v>
      </c>
      <c r="G9" s="21">
        <f>+F9</f>
        <v>281223.5</v>
      </c>
      <c r="H9" s="46">
        <f t="shared" ref="H9:H19" si="0">((G9-I9)/I9)*100</f>
        <v>73.673013147899979</v>
      </c>
      <c r="I9" s="21">
        <v>161927</v>
      </c>
      <c r="J9" s="22"/>
      <c r="K9" s="1"/>
    </row>
    <row r="10" spans="2:13" x14ac:dyDescent="0.3">
      <c r="B10" s="42">
        <v>5</v>
      </c>
      <c r="C10" s="40" t="s">
        <v>22</v>
      </c>
      <c r="D10" s="26">
        <v>661494.31000000006</v>
      </c>
      <c r="E10" s="26">
        <v>0</v>
      </c>
      <c r="F10" s="49">
        <f>+E10+D10</f>
        <v>661494.31000000006</v>
      </c>
      <c r="G10" s="26">
        <f>+G9+F10</f>
        <v>942717.81</v>
      </c>
      <c r="H10" s="50">
        <f t="shared" si="0"/>
        <v>-24.606981427972126</v>
      </c>
      <c r="I10" s="26">
        <f>+I9+1088477.65</f>
        <v>1250404.6499999999</v>
      </c>
      <c r="J10" s="22"/>
      <c r="K10" s="1"/>
    </row>
    <row r="11" spans="2:13" x14ac:dyDescent="0.3">
      <c r="B11" s="42">
        <v>6</v>
      </c>
      <c r="C11" s="40" t="s">
        <v>23</v>
      </c>
      <c r="D11" s="26">
        <v>684028.5</v>
      </c>
      <c r="E11" s="26">
        <v>-79989</v>
      </c>
      <c r="F11" s="49">
        <f>+E11+D11</f>
        <v>604039.5</v>
      </c>
      <c r="G11" s="26">
        <f t="shared" ref="G11:G31" si="1">+G10+F11</f>
        <v>1546757.31</v>
      </c>
      <c r="H11" s="50">
        <f t="shared" si="0"/>
        <v>-30.390468987897769</v>
      </c>
      <c r="I11" s="26">
        <f>+I10+971643.52</f>
        <v>2222048.17</v>
      </c>
      <c r="J11" s="22"/>
      <c r="K11" s="1"/>
    </row>
    <row r="12" spans="2:13" x14ac:dyDescent="0.3">
      <c r="B12" s="42">
        <v>7</v>
      </c>
      <c r="C12" s="40" t="s">
        <v>24</v>
      </c>
      <c r="D12" s="26">
        <v>106349.5</v>
      </c>
      <c r="E12" s="26">
        <v>376135</v>
      </c>
      <c r="F12" s="49">
        <f t="shared" ref="F12:F31" si="2">+E12+D12</f>
        <v>482484.5</v>
      </c>
      <c r="G12" s="26">
        <f>+G11+F12</f>
        <v>2029241.81</v>
      </c>
      <c r="H12" s="50">
        <f t="shared" si="0"/>
        <v>-34.974765300493864</v>
      </c>
      <c r="I12" s="26">
        <f>+I11+898650.77</f>
        <v>3120698.94</v>
      </c>
      <c r="J12" s="22"/>
      <c r="K12" s="1"/>
      <c r="L12" s="39"/>
      <c r="M12" s="39"/>
    </row>
    <row r="13" spans="2:13" x14ac:dyDescent="0.3">
      <c r="B13" s="42">
        <v>8</v>
      </c>
      <c r="C13" s="40" t="s">
        <v>25</v>
      </c>
      <c r="D13" s="26">
        <v>305410.52</v>
      </c>
      <c r="E13" s="26">
        <v>0</v>
      </c>
      <c r="F13" s="49">
        <f t="shared" si="2"/>
        <v>305410.52</v>
      </c>
      <c r="G13" s="26">
        <f t="shared" ref="G13:G19" si="3">+G12+F13</f>
        <v>2334652.33</v>
      </c>
      <c r="H13" s="50">
        <f t="shared" si="0"/>
        <v>-43.624328275601222</v>
      </c>
      <c r="I13" s="26">
        <v>4141240.82</v>
      </c>
      <c r="J13" s="22"/>
      <c r="K13" s="1"/>
      <c r="L13" s="41"/>
    </row>
    <row r="14" spans="2:13" x14ac:dyDescent="0.3">
      <c r="B14" s="42">
        <v>9</v>
      </c>
      <c r="C14" s="40" t="s">
        <v>26</v>
      </c>
      <c r="D14" s="26">
        <v>151092</v>
      </c>
      <c r="E14" s="26">
        <v>0</v>
      </c>
      <c r="F14" s="49">
        <f t="shared" si="2"/>
        <v>151092</v>
      </c>
      <c r="G14" s="26">
        <f t="shared" si="3"/>
        <v>2485744.33</v>
      </c>
      <c r="H14" s="50">
        <f t="shared" si="0"/>
        <v>-48.08615788126933</v>
      </c>
      <c r="I14" s="26">
        <f>+I13+646970.24</f>
        <v>4788211.0599999996</v>
      </c>
      <c r="J14" s="22"/>
      <c r="K14" s="1"/>
    </row>
    <row r="15" spans="2:13" x14ac:dyDescent="0.3">
      <c r="B15" s="42">
        <v>10</v>
      </c>
      <c r="C15" s="40" t="s">
        <v>67</v>
      </c>
      <c r="D15" s="26">
        <v>511962.51</v>
      </c>
      <c r="E15" s="26">
        <v>0</v>
      </c>
      <c r="F15" s="49">
        <f t="shared" si="2"/>
        <v>511962.51</v>
      </c>
      <c r="G15" s="26">
        <f t="shared" si="3"/>
        <v>2997706.84</v>
      </c>
      <c r="H15" s="50">
        <f t="shared" si="0"/>
        <v>-53.924779876357157</v>
      </c>
      <c r="I15" s="26">
        <f>+I14+1717904.01</f>
        <v>6506115.0699999994</v>
      </c>
      <c r="J15" s="22"/>
      <c r="K15" s="1"/>
    </row>
    <row r="16" spans="2:13" x14ac:dyDescent="0.3">
      <c r="B16" s="42">
        <v>11</v>
      </c>
      <c r="C16" s="40" t="s">
        <v>68</v>
      </c>
      <c r="D16" s="26">
        <v>270748</v>
      </c>
      <c r="E16" s="26">
        <v>0</v>
      </c>
      <c r="F16" s="49">
        <f t="shared" si="2"/>
        <v>270748</v>
      </c>
      <c r="G16" s="26">
        <f t="shared" si="3"/>
        <v>3268454.84</v>
      </c>
      <c r="H16" s="50">
        <f t="shared" si="0"/>
        <v>-54.314560126959442</v>
      </c>
      <c r="I16" s="26">
        <f>+I15+648144.25</f>
        <v>7154259.3199999994</v>
      </c>
      <c r="J16" s="22"/>
      <c r="K16" s="1"/>
    </row>
    <row r="17" spans="2:12" x14ac:dyDescent="0.3">
      <c r="B17" s="42">
        <v>12</v>
      </c>
      <c r="C17" s="40" t="s">
        <v>83</v>
      </c>
      <c r="D17" s="26">
        <v>374984.52</v>
      </c>
      <c r="E17" s="26">
        <v>0</v>
      </c>
      <c r="F17" s="49">
        <f t="shared" si="2"/>
        <v>374984.52</v>
      </c>
      <c r="G17" s="26">
        <f t="shared" si="3"/>
        <v>3643439.36</v>
      </c>
      <c r="H17" s="50">
        <f t="shared" si="0"/>
        <v>-53.693033172276749</v>
      </c>
      <c r="I17" s="26">
        <f>+I16+713756.25</f>
        <v>7868015.5699999994</v>
      </c>
      <c r="J17" s="22"/>
      <c r="K17" s="1"/>
    </row>
    <row r="18" spans="2:12" x14ac:dyDescent="0.3">
      <c r="B18" s="42">
        <v>13</v>
      </c>
      <c r="C18" s="40" t="s">
        <v>69</v>
      </c>
      <c r="D18" s="26">
        <v>249899.5</v>
      </c>
      <c r="E18" s="26">
        <v>0</v>
      </c>
      <c r="F18" s="49">
        <f t="shared" si="2"/>
        <v>249899.5</v>
      </c>
      <c r="G18" s="26">
        <f t="shared" si="3"/>
        <v>3893338.86</v>
      </c>
      <c r="H18" s="50">
        <f t="shared" si="0"/>
        <v>-54.245920723388089</v>
      </c>
      <c r="I18" s="26">
        <v>8509271.5700000003</v>
      </c>
      <c r="J18" s="22"/>
      <c r="K18" s="1"/>
    </row>
    <row r="19" spans="2:12" x14ac:dyDescent="0.3">
      <c r="B19" s="42">
        <v>14</v>
      </c>
      <c r="C19" s="86" t="s">
        <v>70</v>
      </c>
      <c r="D19" s="26">
        <v>42124</v>
      </c>
      <c r="E19" s="26">
        <v>0</v>
      </c>
      <c r="F19" s="49">
        <f t="shared" si="2"/>
        <v>42124</v>
      </c>
      <c r="G19" s="26">
        <f t="shared" si="3"/>
        <v>3935462.86</v>
      </c>
      <c r="H19" s="50">
        <f t="shared" si="0"/>
        <v>-56.969209296384761</v>
      </c>
      <c r="I19" s="26">
        <f>+I18+636418.75</f>
        <v>9145690.3200000003</v>
      </c>
      <c r="J19" s="22"/>
      <c r="K19" s="1"/>
    </row>
    <row r="20" spans="2:12" hidden="1" x14ac:dyDescent="0.3">
      <c r="B20" s="11">
        <v>15</v>
      </c>
      <c r="C20" s="17" t="s">
        <v>27</v>
      </c>
      <c r="D20" s="24"/>
      <c r="E20" s="24"/>
      <c r="F20" s="25">
        <f t="shared" si="2"/>
        <v>0</v>
      </c>
      <c r="G20" s="24">
        <f t="shared" si="1"/>
        <v>3935462.86</v>
      </c>
      <c r="H20" s="12">
        <v>0</v>
      </c>
      <c r="I20" s="26">
        <v>0</v>
      </c>
      <c r="J20" s="22"/>
      <c r="K20" s="1"/>
    </row>
    <row r="21" spans="2:12" hidden="1" x14ac:dyDescent="0.3">
      <c r="B21" s="11">
        <v>16</v>
      </c>
      <c r="C21" s="17" t="s">
        <v>28</v>
      </c>
      <c r="D21" s="24"/>
      <c r="E21" s="24"/>
      <c r="F21" s="25">
        <f t="shared" si="2"/>
        <v>0</v>
      </c>
      <c r="G21" s="24">
        <f t="shared" si="1"/>
        <v>3935462.86</v>
      </c>
      <c r="H21" s="12">
        <v>0</v>
      </c>
      <c r="I21" s="26">
        <v>0</v>
      </c>
      <c r="J21" s="22"/>
      <c r="K21" s="1"/>
    </row>
    <row r="22" spans="2:12" hidden="1" x14ac:dyDescent="0.3">
      <c r="B22" s="11">
        <v>17</v>
      </c>
      <c r="C22" s="17" t="s">
        <v>29</v>
      </c>
      <c r="D22" s="24"/>
      <c r="E22" s="24"/>
      <c r="F22" s="25">
        <f t="shared" si="2"/>
        <v>0</v>
      </c>
      <c r="G22" s="24">
        <f t="shared" si="1"/>
        <v>3935462.86</v>
      </c>
      <c r="H22" s="12">
        <v>0</v>
      </c>
      <c r="I22" s="26">
        <v>0</v>
      </c>
      <c r="J22" s="22"/>
      <c r="K22" s="1"/>
    </row>
    <row r="23" spans="2:12" hidden="1" x14ac:dyDescent="0.3">
      <c r="B23" s="11">
        <v>18</v>
      </c>
      <c r="C23" s="17" t="s">
        <v>30</v>
      </c>
      <c r="D23" s="24"/>
      <c r="E23" s="24"/>
      <c r="F23" s="25">
        <f t="shared" si="2"/>
        <v>0</v>
      </c>
      <c r="G23" s="24">
        <f t="shared" si="1"/>
        <v>3935462.86</v>
      </c>
      <c r="H23" s="12">
        <v>0</v>
      </c>
      <c r="I23" s="26">
        <v>0</v>
      </c>
      <c r="J23" s="22"/>
      <c r="K23" s="1"/>
    </row>
    <row r="24" spans="2:12" hidden="1" x14ac:dyDescent="0.3">
      <c r="B24" s="11">
        <v>19</v>
      </c>
      <c r="C24" s="17" t="s">
        <v>31</v>
      </c>
      <c r="D24" s="24"/>
      <c r="E24" s="24"/>
      <c r="F24" s="25">
        <f t="shared" si="2"/>
        <v>0</v>
      </c>
      <c r="G24" s="24">
        <f t="shared" si="1"/>
        <v>3935462.86</v>
      </c>
      <c r="H24" s="12">
        <v>0</v>
      </c>
      <c r="I24" s="26">
        <v>0</v>
      </c>
      <c r="J24" s="22"/>
      <c r="K24" s="1"/>
    </row>
    <row r="25" spans="2:12" hidden="1" x14ac:dyDescent="0.3">
      <c r="B25" s="11">
        <v>20</v>
      </c>
      <c r="C25" s="17" t="s">
        <v>32</v>
      </c>
      <c r="D25" s="24"/>
      <c r="E25" s="24"/>
      <c r="F25" s="25">
        <f t="shared" si="2"/>
        <v>0</v>
      </c>
      <c r="G25" s="24">
        <f t="shared" si="1"/>
        <v>3935462.86</v>
      </c>
      <c r="H25" s="12">
        <v>0</v>
      </c>
      <c r="I25" s="26">
        <v>0</v>
      </c>
      <c r="J25" s="22"/>
      <c r="K25" s="1"/>
    </row>
    <row r="26" spans="2:12" hidden="1" x14ac:dyDescent="0.3">
      <c r="B26" s="11">
        <v>21</v>
      </c>
      <c r="C26" s="17" t="s">
        <v>33</v>
      </c>
      <c r="D26" s="24"/>
      <c r="E26" s="24"/>
      <c r="F26" s="25">
        <f t="shared" si="2"/>
        <v>0</v>
      </c>
      <c r="G26" s="24">
        <f t="shared" si="1"/>
        <v>3935462.86</v>
      </c>
      <c r="H26" s="12">
        <v>0</v>
      </c>
      <c r="I26" s="26">
        <v>0</v>
      </c>
      <c r="J26" s="22"/>
      <c r="K26" s="1"/>
    </row>
    <row r="27" spans="2:12" hidden="1" x14ac:dyDescent="0.3">
      <c r="B27" s="11">
        <v>22</v>
      </c>
      <c r="C27" s="17" t="s">
        <v>34</v>
      </c>
      <c r="D27" s="24"/>
      <c r="E27" s="24"/>
      <c r="F27" s="25">
        <f t="shared" si="2"/>
        <v>0</v>
      </c>
      <c r="G27" s="24">
        <f t="shared" si="1"/>
        <v>3935462.86</v>
      </c>
      <c r="H27" s="12">
        <v>0</v>
      </c>
      <c r="I27" s="26">
        <v>0</v>
      </c>
      <c r="J27" s="22"/>
      <c r="K27" s="1"/>
    </row>
    <row r="28" spans="2:12" hidden="1" x14ac:dyDescent="0.3">
      <c r="B28" s="11">
        <v>23</v>
      </c>
      <c r="C28" s="17" t="s">
        <v>35</v>
      </c>
      <c r="D28" s="24"/>
      <c r="E28" s="24"/>
      <c r="F28" s="25">
        <f t="shared" si="2"/>
        <v>0</v>
      </c>
      <c r="G28" s="24">
        <f t="shared" si="1"/>
        <v>3935462.86</v>
      </c>
      <c r="H28" s="12">
        <v>0</v>
      </c>
      <c r="I28" s="26">
        <v>0</v>
      </c>
      <c r="J28" s="22"/>
      <c r="K28" s="1"/>
    </row>
    <row r="29" spans="2:12" hidden="1" x14ac:dyDescent="0.3">
      <c r="B29" s="11">
        <v>24</v>
      </c>
      <c r="C29" s="17" t="s">
        <v>36</v>
      </c>
      <c r="D29" s="24"/>
      <c r="E29" s="24"/>
      <c r="F29" s="25">
        <f t="shared" si="2"/>
        <v>0</v>
      </c>
      <c r="G29" s="24">
        <f t="shared" si="1"/>
        <v>3935462.86</v>
      </c>
      <c r="H29" s="12">
        <v>0</v>
      </c>
      <c r="I29" s="26">
        <v>0</v>
      </c>
      <c r="J29" s="22"/>
      <c r="K29" s="1"/>
    </row>
    <row r="30" spans="2:12" hidden="1" x14ac:dyDescent="0.3">
      <c r="B30" s="11">
        <v>25</v>
      </c>
      <c r="C30" s="18" t="s">
        <v>37</v>
      </c>
      <c r="D30" s="24"/>
      <c r="E30" s="24"/>
      <c r="F30" s="25">
        <f t="shared" si="2"/>
        <v>0</v>
      </c>
      <c r="G30" s="24">
        <f t="shared" si="1"/>
        <v>3935462.86</v>
      </c>
      <c r="H30" s="12">
        <v>0</v>
      </c>
      <c r="I30" s="26">
        <v>0</v>
      </c>
      <c r="J30" s="22"/>
      <c r="K30" s="1"/>
    </row>
    <row r="31" spans="2:12" hidden="1" x14ac:dyDescent="0.3">
      <c r="B31" s="28">
        <v>26</v>
      </c>
      <c r="C31" s="29" t="s">
        <v>38</v>
      </c>
      <c r="D31" s="30"/>
      <c r="E31" s="30"/>
      <c r="F31" s="31">
        <f t="shared" si="2"/>
        <v>0</v>
      </c>
      <c r="G31" s="30">
        <f t="shared" si="1"/>
        <v>3935462.86</v>
      </c>
      <c r="H31" s="32">
        <v>0</v>
      </c>
      <c r="I31" s="33">
        <v>0</v>
      </c>
      <c r="J31" s="22"/>
      <c r="K31" s="1"/>
    </row>
    <row r="32" spans="2:12" x14ac:dyDescent="0.3">
      <c r="B32" s="5"/>
      <c r="C32" s="5"/>
      <c r="D32" s="6"/>
      <c r="E32" s="6"/>
      <c r="F32" s="6"/>
      <c r="G32" s="6"/>
      <c r="H32" s="7"/>
      <c r="I32" s="6"/>
      <c r="J32" s="5"/>
      <c r="K32" s="1"/>
      <c r="L32" s="39"/>
    </row>
    <row r="33" spans="2:12" x14ac:dyDescent="0.3">
      <c r="B33" s="8" t="s">
        <v>39</v>
      </c>
      <c r="C33" s="5"/>
      <c r="D33" s="5"/>
      <c r="E33" s="5"/>
      <c r="F33" s="5"/>
      <c r="G33" s="5"/>
      <c r="H33" s="5"/>
      <c r="I33" s="5"/>
      <c r="J33" s="5"/>
      <c r="K33" s="1"/>
    </row>
    <row r="34" spans="2:12" x14ac:dyDescent="0.3">
      <c r="B34" s="9" t="s">
        <v>40</v>
      </c>
      <c r="C34" s="5"/>
      <c r="D34" s="5"/>
      <c r="E34" s="5"/>
      <c r="F34" s="5"/>
      <c r="G34" s="5"/>
      <c r="H34" s="5"/>
      <c r="I34" s="5"/>
      <c r="J34" s="5"/>
      <c r="K34" s="1"/>
    </row>
    <row r="35" spans="2:12" x14ac:dyDescent="0.3">
      <c r="B35" s="9" t="s">
        <v>41</v>
      </c>
      <c r="C35" s="5"/>
      <c r="D35" s="5"/>
      <c r="E35" s="5"/>
      <c r="F35" s="5"/>
      <c r="G35" s="5"/>
      <c r="H35" s="5"/>
      <c r="I35" s="5"/>
      <c r="J35" s="5"/>
      <c r="K35" s="1"/>
      <c r="L35" s="39"/>
    </row>
    <row r="36" spans="2:12" x14ac:dyDescent="0.3">
      <c r="B36" s="9" t="s">
        <v>42</v>
      </c>
      <c r="C36" s="5"/>
      <c r="D36" s="5"/>
      <c r="E36" s="5"/>
      <c r="F36" s="5"/>
      <c r="G36" s="5"/>
      <c r="H36" s="5"/>
      <c r="I36" s="5"/>
      <c r="J36" s="5"/>
      <c r="K36" s="1"/>
    </row>
    <row r="37" spans="2:12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2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2" ht="18" x14ac:dyDescent="0.35">
      <c r="B39" s="10"/>
      <c r="C39" s="10"/>
      <c r="D39" s="167" t="s">
        <v>43</v>
      </c>
      <c r="E39" s="167"/>
      <c r="F39" s="167"/>
      <c r="G39" s="167"/>
      <c r="H39" s="167"/>
      <c r="I39" s="167"/>
      <c r="J39" s="10"/>
    </row>
    <row r="40" spans="2:12" s="37" customFormat="1" ht="15.6" x14ac:dyDescent="0.3">
      <c r="B40" s="27"/>
      <c r="C40" s="27"/>
      <c r="D40" s="168" t="s">
        <v>49</v>
      </c>
      <c r="E40" s="168"/>
      <c r="F40" s="168"/>
      <c r="G40" s="168"/>
      <c r="H40" s="168"/>
      <c r="I40" s="168"/>
      <c r="J40" s="27"/>
    </row>
    <row r="41" spans="2:12" ht="15.9" customHeight="1" x14ac:dyDescent="0.3">
      <c r="B41" s="128" t="s">
        <v>84</v>
      </c>
      <c r="C41" s="128"/>
      <c r="D41" s="128"/>
      <c r="E41" s="128"/>
      <c r="F41" s="128"/>
      <c r="G41" s="128"/>
      <c r="H41" s="128"/>
      <c r="I41" s="128"/>
      <c r="J41" s="128"/>
    </row>
    <row r="42" spans="2:12" ht="14.4" customHeight="1" x14ac:dyDescent="0.3">
      <c r="B42" s="15"/>
      <c r="C42" s="16"/>
      <c r="D42" s="152" t="s">
        <v>6</v>
      </c>
      <c r="E42" s="153"/>
      <c r="F42" s="153"/>
      <c r="G42" s="154"/>
      <c r="H42" s="155" t="s">
        <v>7</v>
      </c>
      <c r="I42" s="156"/>
      <c r="J42" s="4"/>
    </row>
    <row r="43" spans="2:12" x14ac:dyDescent="0.3">
      <c r="B43" s="13"/>
      <c r="C43" s="14"/>
      <c r="D43" s="159" t="s">
        <v>9</v>
      </c>
      <c r="E43" s="160"/>
      <c r="F43" s="160"/>
      <c r="G43" s="161"/>
      <c r="H43" s="157"/>
      <c r="I43" s="158"/>
      <c r="J43" s="4"/>
    </row>
    <row r="44" spans="2:12" ht="14.4" customHeight="1" x14ac:dyDescent="0.3">
      <c r="B44" s="132" t="s">
        <v>10</v>
      </c>
      <c r="C44" s="134" t="s">
        <v>11</v>
      </c>
      <c r="D44" s="19" t="s">
        <v>12</v>
      </c>
      <c r="E44" s="19" t="s">
        <v>13</v>
      </c>
      <c r="F44" s="19" t="s">
        <v>14</v>
      </c>
      <c r="G44" s="19" t="s">
        <v>15</v>
      </c>
      <c r="H44" s="162" t="s">
        <v>16</v>
      </c>
      <c r="I44" s="134" t="s">
        <v>17</v>
      </c>
      <c r="J44" s="20"/>
    </row>
    <row r="45" spans="2:12" ht="40.65" customHeight="1" x14ac:dyDescent="0.3">
      <c r="B45" s="133"/>
      <c r="C45" s="135"/>
      <c r="D45" s="164" t="s">
        <v>20</v>
      </c>
      <c r="E45" s="165"/>
      <c r="F45" s="165"/>
      <c r="G45" s="166"/>
      <c r="H45" s="163"/>
      <c r="I45" s="135"/>
      <c r="J45" s="20"/>
    </row>
    <row r="46" spans="2:12" x14ac:dyDescent="0.3">
      <c r="B46" s="42">
        <v>4</v>
      </c>
      <c r="C46" s="40" t="s">
        <v>21</v>
      </c>
      <c r="D46" s="21">
        <v>280686</v>
      </c>
      <c r="E46" s="21">
        <v>0</v>
      </c>
      <c r="F46" s="45">
        <f>+D46+E46</f>
        <v>280686</v>
      </c>
      <c r="G46" s="21">
        <f>+F46</f>
        <v>280686</v>
      </c>
      <c r="H46" s="46">
        <f t="shared" ref="H46:H56" si="4">((G46-I46)/I46)*100</f>
        <v>73.341073446676589</v>
      </c>
      <c r="I46" s="21">
        <v>161927</v>
      </c>
      <c r="J46" s="22"/>
    </row>
    <row r="47" spans="2:12" x14ac:dyDescent="0.3">
      <c r="B47" s="42">
        <v>5</v>
      </c>
      <c r="C47" s="40" t="s">
        <v>22</v>
      </c>
      <c r="D47" s="26">
        <v>661021.81000000006</v>
      </c>
      <c r="E47" s="26">
        <v>0</v>
      </c>
      <c r="F47" s="49">
        <f>+E47+D47</f>
        <v>661021.81000000006</v>
      </c>
      <c r="G47" s="26">
        <f>+G46+F47</f>
        <v>941707.81</v>
      </c>
      <c r="H47" s="50">
        <f t="shared" si="4"/>
        <v>-24.687755279860792</v>
      </c>
      <c r="I47" s="26">
        <v>1250404.6499999999</v>
      </c>
      <c r="J47" s="22"/>
    </row>
    <row r="48" spans="2:12" x14ac:dyDescent="0.3">
      <c r="B48" s="42">
        <v>6</v>
      </c>
      <c r="C48" s="40" t="s">
        <v>23</v>
      </c>
      <c r="D48" s="26">
        <f>604039.5+79989</f>
        <v>684028.5</v>
      </c>
      <c r="E48" s="26">
        <v>-79989</v>
      </c>
      <c r="F48" s="49">
        <f>+E48+D48</f>
        <v>604039.5</v>
      </c>
      <c r="G48" s="26">
        <f t="shared" ref="G48" si="5">+G47+F48</f>
        <v>1545747.31</v>
      </c>
      <c r="H48" s="50">
        <f t="shared" si="4"/>
        <v>-30.435922547979683</v>
      </c>
      <c r="I48" s="26">
        <f>+I47+971643.52</f>
        <v>2222048.17</v>
      </c>
      <c r="J48" s="22"/>
    </row>
    <row r="49" spans="2:10" x14ac:dyDescent="0.3">
      <c r="B49" s="42">
        <v>7</v>
      </c>
      <c r="C49" s="40" t="s">
        <v>24</v>
      </c>
      <c r="D49" s="26">
        <v>105227.5</v>
      </c>
      <c r="E49" s="26">
        <v>214273</v>
      </c>
      <c r="F49" s="49">
        <f t="shared" ref="F49:F68" si="6">+E49+D49</f>
        <v>319500.5</v>
      </c>
      <c r="G49" s="26">
        <f>+G48+F49</f>
        <v>1865247.81</v>
      </c>
      <c r="H49" s="50">
        <f t="shared" si="4"/>
        <v>-40.229806019032388</v>
      </c>
      <c r="I49" s="26">
        <f>+I48+898650.77</f>
        <v>3120698.94</v>
      </c>
      <c r="J49" s="22"/>
    </row>
    <row r="50" spans="2:10" x14ac:dyDescent="0.3">
      <c r="B50" s="42">
        <v>8</v>
      </c>
      <c r="C50" s="40" t="s">
        <v>25</v>
      </c>
      <c r="D50" s="26">
        <v>305410.52</v>
      </c>
      <c r="E50" s="26">
        <v>0</v>
      </c>
      <c r="F50" s="49">
        <f t="shared" si="6"/>
        <v>305410.52</v>
      </c>
      <c r="G50" s="26">
        <f t="shared" ref="G50:G56" si="7">+G49+F50</f>
        <v>2170658.33</v>
      </c>
      <c r="H50" s="50">
        <f t="shared" si="4"/>
        <v>-47.584349127515843</v>
      </c>
      <c r="I50" s="26">
        <f>+I49+1020541.88</f>
        <v>4141240.82</v>
      </c>
      <c r="J50" s="22"/>
    </row>
    <row r="51" spans="2:10" x14ac:dyDescent="0.3">
      <c r="B51" s="42">
        <v>9</v>
      </c>
      <c r="C51" s="40" t="s">
        <v>26</v>
      </c>
      <c r="D51" s="26">
        <v>147250.5</v>
      </c>
      <c r="E51" s="26">
        <v>0</v>
      </c>
      <c r="F51" s="49">
        <f t="shared" si="6"/>
        <v>147250.5</v>
      </c>
      <c r="G51" s="26">
        <f t="shared" si="7"/>
        <v>2317908.83</v>
      </c>
      <c r="H51" s="50">
        <f t="shared" si="4"/>
        <v>-51.577909864378427</v>
      </c>
      <c r="I51" s="26">
        <f>+I50+645642.24</f>
        <v>4786883.0599999996</v>
      </c>
      <c r="J51" s="22"/>
    </row>
    <row r="52" spans="2:10" x14ac:dyDescent="0.3">
      <c r="B52" s="42">
        <v>10</v>
      </c>
      <c r="C52" s="40" t="s">
        <v>67</v>
      </c>
      <c r="D52" s="26">
        <v>511962.51</v>
      </c>
      <c r="E52" s="26">
        <v>0</v>
      </c>
      <c r="F52" s="49">
        <f t="shared" si="6"/>
        <v>511962.51</v>
      </c>
      <c r="G52" s="26">
        <f t="shared" si="7"/>
        <v>2829871.34</v>
      </c>
      <c r="H52" s="50">
        <f t="shared" si="4"/>
        <v>-56.494878813950109</v>
      </c>
      <c r="I52" s="26">
        <f>+I51+1717802.51</f>
        <v>6504685.5699999994</v>
      </c>
      <c r="J52" s="22"/>
    </row>
    <row r="53" spans="2:10" x14ac:dyDescent="0.3">
      <c r="B53" s="42">
        <v>11</v>
      </c>
      <c r="C53" s="40" t="s">
        <v>68</v>
      </c>
      <c r="D53" s="26">
        <v>269143</v>
      </c>
      <c r="E53" s="26">
        <v>0</v>
      </c>
      <c r="F53" s="49">
        <f t="shared" si="6"/>
        <v>269143</v>
      </c>
      <c r="G53" s="26">
        <f t="shared" si="7"/>
        <v>3099014.34</v>
      </c>
      <c r="H53" s="50">
        <f t="shared" si="4"/>
        <v>-56.674289505184952</v>
      </c>
      <c r="I53" s="26">
        <f>+I52+648144.25</f>
        <v>7152829.8199999994</v>
      </c>
      <c r="J53" s="22"/>
    </row>
    <row r="54" spans="2:10" x14ac:dyDescent="0.3">
      <c r="B54" s="42">
        <v>12</v>
      </c>
      <c r="C54" s="40" t="s">
        <v>83</v>
      </c>
      <c r="D54" s="26">
        <v>374984.52</v>
      </c>
      <c r="E54" s="26">
        <v>0</v>
      </c>
      <c r="F54" s="49">
        <f t="shared" si="6"/>
        <v>374984.52</v>
      </c>
      <c r="G54" s="26">
        <f t="shared" si="7"/>
        <v>3473998.86</v>
      </c>
      <c r="H54" s="50">
        <f t="shared" si="4"/>
        <v>-55.838545093297363</v>
      </c>
      <c r="I54" s="26">
        <f>+I53+713756.25</f>
        <v>7866586.0699999994</v>
      </c>
      <c r="J54" s="22"/>
    </row>
    <row r="55" spans="2:10" x14ac:dyDescent="0.3">
      <c r="B55" s="42">
        <v>13</v>
      </c>
      <c r="C55" s="40" t="s">
        <v>69</v>
      </c>
      <c r="D55" s="26">
        <v>249899.5</v>
      </c>
      <c r="E55" s="26">
        <v>0</v>
      </c>
      <c r="F55" s="49">
        <f t="shared" si="6"/>
        <v>249899.5</v>
      </c>
      <c r="G55" s="26">
        <f t="shared" si="7"/>
        <v>3723898.36</v>
      </c>
      <c r="H55" s="50">
        <f t="shared" si="4"/>
        <v>-56.216023746151635</v>
      </c>
      <c r="I55" s="26">
        <v>8505162.5700000003</v>
      </c>
      <c r="J55" s="22"/>
    </row>
    <row r="56" spans="2:10" x14ac:dyDescent="0.3">
      <c r="B56" s="42">
        <v>14</v>
      </c>
      <c r="C56" s="86" t="s">
        <v>70</v>
      </c>
      <c r="D56" s="26">
        <v>42124</v>
      </c>
      <c r="E56" s="26">
        <v>0</v>
      </c>
      <c r="F56" s="49">
        <f t="shared" si="6"/>
        <v>42124</v>
      </c>
      <c r="G56" s="26">
        <f t="shared" si="7"/>
        <v>3766022.36</v>
      </c>
      <c r="H56" s="50">
        <f t="shared" si="4"/>
        <v>-58.803381732647551</v>
      </c>
      <c r="I56" s="26">
        <f>+I55+636418.75</f>
        <v>9141581.3200000003</v>
      </c>
      <c r="J56" s="22"/>
    </row>
    <row r="57" spans="2:10" hidden="1" x14ac:dyDescent="0.3">
      <c r="B57" s="11">
        <v>15</v>
      </c>
      <c r="C57" s="17" t="s">
        <v>27</v>
      </c>
      <c r="D57" s="24"/>
      <c r="E57" s="24"/>
      <c r="F57" s="25">
        <f t="shared" si="6"/>
        <v>0</v>
      </c>
      <c r="G57" s="24">
        <f t="shared" ref="G57:G68" si="8">+G56+F57</f>
        <v>3766022.36</v>
      </c>
      <c r="H57" s="12">
        <v>0</v>
      </c>
      <c r="I57" s="26">
        <v>0</v>
      </c>
      <c r="J57" s="22"/>
    </row>
    <row r="58" spans="2:10" hidden="1" x14ac:dyDescent="0.3">
      <c r="B58" s="11">
        <v>16</v>
      </c>
      <c r="C58" s="17" t="s">
        <v>28</v>
      </c>
      <c r="D58" s="24"/>
      <c r="E58" s="24"/>
      <c r="F58" s="25">
        <f t="shared" si="6"/>
        <v>0</v>
      </c>
      <c r="G58" s="24">
        <f t="shared" si="8"/>
        <v>3766022.36</v>
      </c>
      <c r="H58" s="12">
        <v>0</v>
      </c>
      <c r="I58" s="26">
        <v>0</v>
      </c>
      <c r="J58" s="22"/>
    </row>
    <row r="59" spans="2:10" hidden="1" x14ac:dyDescent="0.3">
      <c r="B59" s="11">
        <v>17</v>
      </c>
      <c r="C59" s="17" t="s">
        <v>29</v>
      </c>
      <c r="D59" s="24"/>
      <c r="E59" s="24"/>
      <c r="F59" s="25">
        <f t="shared" si="6"/>
        <v>0</v>
      </c>
      <c r="G59" s="24">
        <f t="shared" si="8"/>
        <v>3766022.36</v>
      </c>
      <c r="H59" s="12">
        <v>0</v>
      </c>
      <c r="I59" s="26">
        <v>0</v>
      </c>
      <c r="J59" s="22"/>
    </row>
    <row r="60" spans="2:10" hidden="1" x14ac:dyDescent="0.3">
      <c r="B60" s="11">
        <v>18</v>
      </c>
      <c r="C60" s="17" t="s">
        <v>30</v>
      </c>
      <c r="D60" s="24"/>
      <c r="E60" s="24"/>
      <c r="F60" s="25">
        <f t="shared" si="6"/>
        <v>0</v>
      </c>
      <c r="G60" s="24">
        <f t="shared" si="8"/>
        <v>3766022.36</v>
      </c>
      <c r="H60" s="12">
        <v>0</v>
      </c>
      <c r="I60" s="26">
        <v>0</v>
      </c>
      <c r="J60" s="22"/>
    </row>
    <row r="61" spans="2:10" hidden="1" x14ac:dyDescent="0.3">
      <c r="B61" s="11">
        <v>19</v>
      </c>
      <c r="C61" s="17" t="s">
        <v>31</v>
      </c>
      <c r="D61" s="24"/>
      <c r="E61" s="24"/>
      <c r="F61" s="25">
        <f t="shared" si="6"/>
        <v>0</v>
      </c>
      <c r="G61" s="24">
        <f t="shared" si="8"/>
        <v>3766022.36</v>
      </c>
      <c r="H61" s="12">
        <v>0</v>
      </c>
      <c r="I61" s="26">
        <v>0</v>
      </c>
      <c r="J61" s="22"/>
    </row>
    <row r="62" spans="2:10" hidden="1" x14ac:dyDescent="0.3">
      <c r="B62" s="11">
        <v>20</v>
      </c>
      <c r="C62" s="17" t="s">
        <v>32</v>
      </c>
      <c r="D62" s="24"/>
      <c r="E62" s="24"/>
      <c r="F62" s="25">
        <f t="shared" si="6"/>
        <v>0</v>
      </c>
      <c r="G62" s="24">
        <f t="shared" si="8"/>
        <v>3766022.36</v>
      </c>
      <c r="H62" s="12">
        <v>0</v>
      </c>
      <c r="I62" s="26">
        <v>0</v>
      </c>
      <c r="J62" s="22"/>
    </row>
    <row r="63" spans="2:10" hidden="1" x14ac:dyDescent="0.3">
      <c r="B63" s="11">
        <v>21</v>
      </c>
      <c r="C63" s="17" t="s">
        <v>33</v>
      </c>
      <c r="D63" s="24"/>
      <c r="E63" s="24"/>
      <c r="F63" s="25">
        <f t="shared" si="6"/>
        <v>0</v>
      </c>
      <c r="G63" s="24">
        <f t="shared" si="8"/>
        <v>3766022.36</v>
      </c>
      <c r="H63" s="12">
        <v>0</v>
      </c>
      <c r="I63" s="26">
        <v>0</v>
      </c>
      <c r="J63" s="22"/>
    </row>
    <row r="64" spans="2:10" hidden="1" x14ac:dyDescent="0.3">
      <c r="B64" s="11">
        <v>22</v>
      </c>
      <c r="C64" s="17" t="s">
        <v>34</v>
      </c>
      <c r="D64" s="24"/>
      <c r="E64" s="24"/>
      <c r="F64" s="25">
        <f t="shared" si="6"/>
        <v>0</v>
      </c>
      <c r="G64" s="24">
        <f t="shared" si="8"/>
        <v>3766022.36</v>
      </c>
      <c r="H64" s="12">
        <v>0</v>
      </c>
      <c r="I64" s="26">
        <v>0</v>
      </c>
      <c r="J64" s="22"/>
    </row>
    <row r="65" spans="2:10" hidden="1" x14ac:dyDescent="0.3">
      <c r="B65" s="11">
        <v>23</v>
      </c>
      <c r="C65" s="17" t="s">
        <v>35</v>
      </c>
      <c r="D65" s="24"/>
      <c r="E65" s="24"/>
      <c r="F65" s="25">
        <f t="shared" si="6"/>
        <v>0</v>
      </c>
      <c r="G65" s="24">
        <f t="shared" si="8"/>
        <v>3766022.36</v>
      </c>
      <c r="H65" s="12">
        <v>0</v>
      </c>
      <c r="I65" s="26">
        <v>0</v>
      </c>
      <c r="J65" s="22"/>
    </row>
    <row r="66" spans="2:10" hidden="1" x14ac:dyDescent="0.3">
      <c r="B66" s="11">
        <v>24</v>
      </c>
      <c r="C66" s="17" t="s">
        <v>36</v>
      </c>
      <c r="D66" s="24"/>
      <c r="E66" s="24"/>
      <c r="F66" s="25">
        <f t="shared" si="6"/>
        <v>0</v>
      </c>
      <c r="G66" s="24">
        <f t="shared" si="8"/>
        <v>3766022.36</v>
      </c>
      <c r="H66" s="12">
        <v>0</v>
      </c>
      <c r="I66" s="26">
        <v>0</v>
      </c>
      <c r="J66" s="22"/>
    </row>
    <row r="67" spans="2:10" hidden="1" x14ac:dyDescent="0.3">
      <c r="B67" s="11">
        <v>25</v>
      </c>
      <c r="C67" s="18" t="s">
        <v>37</v>
      </c>
      <c r="D67" s="24"/>
      <c r="E67" s="24"/>
      <c r="F67" s="25">
        <f t="shared" si="6"/>
        <v>0</v>
      </c>
      <c r="G67" s="24">
        <f t="shared" si="8"/>
        <v>3766022.36</v>
      </c>
      <c r="H67" s="12">
        <v>0</v>
      </c>
      <c r="I67" s="26">
        <v>0</v>
      </c>
      <c r="J67" s="22"/>
    </row>
    <row r="68" spans="2:10" hidden="1" x14ac:dyDescent="0.3">
      <c r="B68" s="28">
        <v>26</v>
      </c>
      <c r="C68" s="29" t="s">
        <v>38</v>
      </c>
      <c r="D68" s="30"/>
      <c r="E68" s="30"/>
      <c r="F68" s="31">
        <f t="shared" si="6"/>
        <v>0</v>
      </c>
      <c r="G68" s="30">
        <f t="shared" si="8"/>
        <v>3766022.36</v>
      </c>
      <c r="H68" s="32">
        <v>0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39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40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41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42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69" t="s">
        <v>45</v>
      </c>
      <c r="E76" s="169"/>
      <c r="F76" s="169"/>
      <c r="G76" s="169"/>
      <c r="H76" s="169"/>
      <c r="I76" s="169"/>
      <c r="J76" s="10"/>
    </row>
    <row r="77" spans="2:10" s="37" customFormat="1" ht="15.6" x14ac:dyDescent="0.3">
      <c r="B77" s="27"/>
      <c r="C77" s="27"/>
      <c r="D77" s="170" t="s">
        <v>49</v>
      </c>
      <c r="E77" s="170"/>
      <c r="F77" s="170"/>
      <c r="G77" s="170"/>
      <c r="H77" s="170"/>
      <c r="I77" s="170"/>
      <c r="J77" s="27"/>
    </row>
    <row r="78" spans="2:10" ht="15.9" customHeight="1" x14ac:dyDescent="0.3">
      <c r="B78" s="128" t="s">
        <v>84</v>
      </c>
      <c r="C78" s="128"/>
      <c r="D78" s="128"/>
      <c r="E78" s="128"/>
      <c r="F78" s="128"/>
      <c r="G78" s="128"/>
      <c r="H78" s="128"/>
      <c r="I78" s="128"/>
      <c r="J78" s="128"/>
    </row>
    <row r="79" spans="2:10" ht="14.4" customHeight="1" x14ac:dyDescent="0.3">
      <c r="B79" s="15"/>
      <c r="C79" s="16"/>
      <c r="D79" s="152" t="s">
        <v>6</v>
      </c>
      <c r="E79" s="153"/>
      <c r="F79" s="153"/>
      <c r="G79" s="154"/>
      <c r="H79" s="155" t="s">
        <v>7</v>
      </c>
      <c r="I79" s="156"/>
      <c r="J79" s="4"/>
    </row>
    <row r="80" spans="2:10" x14ac:dyDescent="0.3">
      <c r="B80" s="13"/>
      <c r="C80" s="14"/>
      <c r="D80" s="159" t="s">
        <v>9</v>
      </c>
      <c r="E80" s="160"/>
      <c r="F80" s="160"/>
      <c r="G80" s="161"/>
      <c r="H80" s="157"/>
      <c r="I80" s="158"/>
      <c r="J80" s="4"/>
    </row>
    <row r="81" spans="2:10" ht="14.4" customHeight="1" x14ac:dyDescent="0.3">
      <c r="B81" s="132" t="s">
        <v>10</v>
      </c>
      <c r="C81" s="134" t="s">
        <v>11</v>
      </c>
      <c r="D81" s="19" t="s">
        <v>12</v>
      </c>
      <c r="E81" s="19" t="s">
        <v>13</v>
      </c>
      <c r="F81" s="19" t="s">
        <v>14</v>
      </c>
      <c r="G81" s="19" t="s">
        <v>15</v>
      </c>
      <c r="H81" s="162" t="s">
        <v>16</v>
      </c>
      <c r="I81" s="134" t="s">
        <v>17</v>
      </c>
      <c r="J81" s="20"/>
    </row>
    <row r="82" spans="2:10" ht="38.4" customHeight="1" x14ac:dyDescent="0.3">
      <c r="B82" s="133"/>
      <c r="C82" s="135"/>
      <c r="D82" s="164" t="s">
        <v>20</v>
      </c>
      <c r="E82" s="165"/>
      <c r="F82" s="165"/>
      <c r="G82" s="166"/>
      <c r="H82" s="163"/>
      <c r="I82" s="135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e">
        <f t="shared" ref="H83:H93" si="9">((G83-I83)/I83)*100</f>
        <v>#DIV/0!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0</v>
      </c>
      <c r="E84" s="26">
        <v>0</v>
      </c>
      <c r="F84" s="49">
        <f>+E84+D84</f>
        <v>0</v>
      </c>
      <c r="G84" s="26">
        <f>+G83+F84</f>
        <v>0</v>
      </c>
      <c r="H84" s="50" t="e">
        <f t="shared" si="9"/>
        <v>#DIV/0!</v>
      </c>
      <c r="I84" s="26">
        <v>0</v>
      </c>
      <c r="J84" s="22"/>
    </row>
    <row r="85" spans="2:10" x14ac:dyDescent="0.3">
      <c r="B85" s="42">
        <v>6</v>
      </c>
      <c r="C85" s="40" t="s">
        <v>23</v>
      </c>
      <c r="D85" s="26">
        <v>0</v>
      </c>
      <c r="E85" s="26">
        <v>0</v>
      </c>
      <c r="F85" s="49">
        <f>+E85+D85</f>
        <v>0</v>
      </c>
      <c r="G85" s="26">
        <f t="shared" ref="G85" si="10">+G84+F85</f>
        <v>0</v>
      </c>
      <c r="H85" s="50" t="e">
        <f t="shared" si="9"/>
        <v>#DIV/0!</v>
      </c>
      <c r="I85" s="26">
        <v>0</v>
      </c>
      <c r="J85" s="22"/>
    </row>
    <row r="86" spans="2:10" x14ac:dyDescent="0.3">
      <c r="B86" s="42">
        <v>7</v>
      </c>
      <c r="C86" s="40" t="s">
        <v>24</v>
      </c>
      <c r="D86" s="26">
        <v>1122</v>
      </c>
      <c r="E86" s="26">
        <v>161862</v>
      </c>
      <c r="F86" s="49">
        <f t="shared" ref="F86:F105" si="11">+E86+D86</f>
        <v>162984</v>
      </c>
      <c r="G86" s="26">
        <f>+G85+F86</f>
        <v>162984</v>
      </c>
      <c r="H86" s="50" t="e">
        <f t="shared" si="9"/>
        <v>#DIV/0!</v>
      </c>
      <c r="I86" s="26">
        <v>0</v>
      </c>
      <c r="J86" s="22"/>
    </row>
    <row r="87" spans="2:10" x14ac:dyDescent="0.3">
      <c r="B87" s="42">
        <v>8</v>
      </c>
      <c r="C87" s="40" t="s">
        <v>25</v>
      </c>
      <c r="D87" s="26">
        <v>0</v>
      </c>
      <c r="E87" s="26">
        <v>0</v>
      </c>
      <c r="F87" s="49">
        <f t="shared" si="11"/>
        <v>0</v>
      </c>
      <c r="G87" s="26">
        <f t="shared" ref="G87:G93" si="12">+G86+F87</f>
        <v>162984</v>
      </c>
      <c r="H87" s="50" t="e">
        <f t="shared" si="9"/>
        <v>#DIV/0!</v>
      </c>
      <c r="I87" s="26">
        <v>0</v>
      </c>
      <c r="J87" s="22"/>
    </row>
    <row r="88" spans="2:10" x14ac:dyDescent="0.3">
      <c r="B88" s="42">
        <v>9</v>
      </c>
      <c r="C88" s="40" t="s">
        <v>26</v>
      </c>
      <c r="D88" s="24">
        <v>2454</v>
      </c>
      <c r="E88" s="26">
        <v>0</v>
      </c>
      <c r="F88" s="49">
        <f t="shared" si="11"/>
        <v>2454</v>
      </c>
      <c r="G88" s="26">
        <f t="shared" si="12"/>
        <v>165438</v>
      </c>
      <c r="H88" s="50" t="e">
        <f t="shared" si="9"/>
        <v>#DIV/0!</v>
      </c>
      <c r="I88" s="26">
        <v>0</v>
      </c>
      <c r="J88" s="22"/>
    </row>
    <row r="89" spans="2:10" x14ac:dyDescent="0.3">
      <c r="B89" s="42">
        <v>10</v>
      </c>
      <c r="C89" s="40" t="s">
        <v>67</v>
      </c>
      <c r="D89" s="24">
        <v>0</v>
      </c>
      <c r="E89" s="26">
        <v>0</v>
      </c>
      <c r="F89" s="49">
        <f t="shared" si="11"/>
        <v>0</v>
      </c>
      <c r="G89" s="26">
        <f t="shared" si="12"/>
        <v>165438</v>
      </c>
      <c r="H89" s="50" t="e">
        <f t="shared" si="9"/>
        <v>#DIV/0!</v>
      </c>
      <c r="I89" s="26">
        <v>0</v>
      </c>
      <c r="J89" s="22"/>
    </row>
    <row r="90" spans="2:10" x14ac:dyDescent="0.3">
      <c r="B90" s="42">
        <v>11</v>
      </c>
      <c r="C90" s="40" t="s">
        <v>68</v>
      </c>
      <c r="D90" s="24">
        <v>0</v>
      </c>
      <c r="E90" s="26">
        <v>0</v>
      </c>
      <c r="F90" s="49">
        <f t="shared" si="11"/>
        <v>0</v>
      </c>
      <c r="G90" s="26">
        <f t="shared" si="12"/>
        <v>165438</v>
      </c>
      <c r="H90" s="50" t="e">
        <f t="shared" si="9"/>
        <v>#DIV/0!</v>
      </c>
      <c r="I90" s="26">
        <v>0</v>
      </c>
      <c r="J90" s="22"/>
    </row>
    <row r="91" spans="2:10" x14ac:dyDescent="0.3">
      <c r="B91" s="42">
        <v>12</v>
      </c>
      <c r="C91" s="40" t="s">
        <v>83</v>
      </c>
      <c r="D91" s="24">
        <v>0</v>
      </c>
      <c r="E91" s="26">
        <v>0</v>
      </c>
      <c r="F91" s="49">
        <f t="shared" si="11"/>
        <v>0</v>
      </c>
      <c r="G91" s="26">
        <f t="shared" si="12"/>
        <v>165438</v>
      </c>
      <c r="H91" s="50" t="e">
        <f t="shared" si="9"/>
        <v>#DIV/0!</v>
      </c>
      <c r="I91" s="26">
        <v>0</v>
      </c>
      <c r="J91" s="22"/>
    </row>
    <row r="92" spans="2:10" x14ac:dyDescent="0.3">
      <c r="B92" s="42">
        <v>13</v>
      </c>
      <c r="C92" s="40" t="s">
        <v>69</v>
      </c>
      <c r="D92" s="26">
        <v>0</v>
      </c>
      <c r="E92" s="26">
        <v>0</v>
      </c>
      <c r="F92" s="49">
        <f t="shared" si="11"/>
        <v>0</v>
      </c>
      <c r="G92" s="26">
        <f t="shared" si="12"/>
        <v>165438</v>
      </c>
      <c r="H92" s="50" t="e">
        <f t="shared" si="9"/>
        <v>#DIV/0!</v>
      </c>
      <c r="I92" s="26">
        <v>0</v>
      </c>
      <c r="J92" s="22"/>
    </row>
    <row r="93" spans="2:10" x14ac:dyDescent="0.3">
      <c r="B93" s="42">
        <v>14</v>
      </c>
      <c r="C93" s="86" t="s">
        <v>70</v>
      </c>
      <c r="D93" s="26">
        <v>0</v>
      </c>
      <c r="E93" s="26">
        <v>0</v>
      </c>
      <c r="F93" s="49">
        <f t="shared" si="11"/>
        <v>0</v>
      </c>
      <c r="G93" s="26">
        <f t="shared" si="12"/>
        <v>165438</v>
      </c>
      <c r="H93" s="50" t="e">
        <f t="shared" si="9"/>
        <v>#DIV/0!</v>
      </c>
      <c r="I93" s="26">
        <v>0</v>
      </c>
      <c r="J93" s="22"/>
    </row>
    <row r="94" spans="2:10" hidden="1" x14ac:dyDescent="0.3">
      <c r="B94" s="11">
        <v>15</v>
      </c>
      <c r="C94" s="17" t="s">
        <v>27</v>
      </c>
      <c r="D94" s="24"/>
      <c r="E94" s="24"/>
      <c r="F94" s="25">
        <f t="shared" si="11"/>
        <v>0</v>
      </c>
      <c r="G94" s="24">
        <f t="shared" ref="G94:G105" si="13">+G93+F94</f>
        <v>165438</v>
      </c>
      <c r="H94" s="12">
        <v>0</v>
      </c>
      <c r="I94" s="26">
        <v>0</v>
      </c>
      <c r="J94" s="22"/>
    </row>
    <row r="95" spans="2:10" hidden="1" x14ac:dyDescent="0.3">
      <c r="B95" s="11">
        <v>16</v>
      </c>
      <c r="C95" s="17" t="s">
        <v>28</v>
      </c>
      <c r="D95" s="24"/>
      <c r="E95" s="24"/>
      <c r="F95" s="25">
        <f t="shared" si="11"/>
        <v>0</v>
      </c>
      <c r="G95" s="24">
        <f t="shared" si="13"/>
        <v>165438</v>
      </c>
      <c r="H95" s="12">
        <v>0</v>
      </c>
      <c r="I95" s="26">
        <v>0</v>
      </c>
      <c r="J95" s="22"/>
    </row>
    <row r="96" spans="2:10" hidden="1" x14ac:dyDescent="0.3">
      <c r="B96" s="11">
        <v>17</v>
      </c>
      <c r="C96" s="17" t="s">
        <v>29</v>
      </c>
      <c r="D96" s="24"/>
      <c r="E96" s="24"/>
      <c r="F96" s="25">
        <f t="shared" si="11"/>
        <v>0</v>
      </c>
      <c r="G96" s="24">
        <f t="shared" si="13"/>
        <v>165438</v>
      </c>
      <c r="H96" s="12">
        <v>0</v>
      </c>
      <c r="I96" s="26">
        <v>0</v>
      </c>
      <c r="J96" s="22"/>
    </row>
    <row r="97" spans="2:10" hidden="1" x14ac:dyDescent="0.3">
      <c r="B97" s="11">
        <v>18</v>
      </c>
      <c r="C97" s="17" t="s">
        <v>30</v>
      </c>
      <c r="D97" s="24"/>
      <c r="E97" s="24"/>
      <c r="F97" s="25">
        <f t="shared" si="11"/>
        <v>0</v>
      </c>
      <c r="G97" s="24">
        <f t="shared" si="13"/>
        <v>165438</v>
      </c>
      <c r="H97" s="12">
        <v>0</v>
      </c>
      <c r="I97" s="26">
        <v>0</v>
      </c>
      <c r="J97" s="22"/>
    </row>
    <row r="98" spans="2:10" hidden="1" x14ac:dyDescent="0.3">
      <c r="B98" s="11">
        <v>19</v>
      </c>
      <c r="C98" s="17" t="s">
        <v>31</v>
      </c>
      <c r="D98" s="24"/>
      <c r="E98" s="24"/>
      <c r="F98" s="25">
        <f t="shared" si="11"/>
        <v>0</v>
      </c>
      <c r="G98" s="24">
        <f t="shared" si="13"/>
        <v>165438</v>
      </c>
      <c r="H98" s="12">
        <v>0</v>
      </c>
      <c r="I98" s="26">
        <v>0</v>
      </c>
      <c r="J98" s="22"/>
    </row>
    <row r="99" spans="2:10" hidden="1" x14ac:dyDescent="0.3">
      <c r="B99" s="11">
        <v>20</v>
      </c>
      <c r="C99" s="17" t="s">
        <v>32</v>
      </c>
      <c r="D99" s="24"/>
      <c r="E99" s="24"/>
      <c r="F99" s="25">
        <f t="shared" si="11"/>
        <v>0</v>
      </c>
      <c r="G99" s="24">
        <f t="shared" si="13"/>
        <v>165438</v>
      </c>
      <c r="H99" s="12">
        <v>0</v>
      </c>
      <c r="I99" s="26">
        <v>0</v>
      </c>
      <c r="J99" s="22"/>
    </row>
    <row r="100" spans="2:10" hidden="1" x14ac:dyDescent="0.3">
      <c r="B100" s="11">
        <v>21</v>
      </c>
      <c r="C100" s="17" t="s">
        <v>33</v>
      </c>
      <c r="D100" s="24"/>
      <c r="E100" s="24"/>
      <c r="F100" s="25">
        <f t="shared" si="11"/>
        <v>0</v>
      </c>
      <c r="G100" s="24">
        <f t="shared" si="13"/>
        <v>165438</v>
      </c>
      <c r="H100" s="12">
        <v>0</v>
      </c>
      <c r="I100" s="26">
        <v>0</v>
      </c>
      <c r="J100" s="22"/>
    </row>
    <row r="101" spans="2:10" hidden="1" x14ac:dyDescent="0.3">
      <c r="B101" s="11">
        <v>22</v>
      </c>
      <c r="C101" s="17" t="s">
        <v>34</v>
      </c>
      <c r="D101" s="24"/>
      <c r="E101" s="24"/>
      <c r="F101" s="25">
        <f t="shared" si="11"/>
        <v>0</v>
      </c>
      <c r="G101" s="24">
        <f t="shared" si="13"/>
        <v>165438</v>
      </c>
      <c r="H101" s="12">
        <v>0</v>
      </c>
      <c r="I101" s="26">
        <v>0</v>
      </c>
      <c r="J101" s="22"/>
    </row>
    <row r="102" spans="2:10" hidden="1" x14ac:dyDescent="0.3">
      <c r="B102" s="11">
        <v>23</v>
      </c>
      <c r="C102" s="17" t="s">
        <v>35</v>
      </c>
      <c r="D102" s="24"/>
      <c r="E102" s="24"/>
      <c r="F102" s="25">
        <f t="shared" si="11"/>
        <v>0</v>
      </c>
      <c r="G102" s="24">
        <f t="shared" si="13"/>
        <v>165438</v>
      </c>
      <c r="H102" s="12">
        <v>0</v>
      </c>
      <c r="I102" s="26">
        <v>0</v>
      </c>
      <c r="J102" s="22"/>
    </row>
    <row r="103" spans="2:10" hidden="1" x14ac:dyDescent="0.3">
      <c r="B103" s="11">
        <v>24</v>
      </c>
      <c r="C103" s="17" t="s">
        <v>36</v>
      </c>
      <c r="D103" s="24"/>
      <c r="E103" s="24"/>
      <c r="F103" s="25">
        <f t="shared" si="11"/>
        <v>0</v>
      </c>
      <c r="G103" s="24">
        <f t="shared" si="13"/>
        <v>165438</v>
      </c>
      <c r="H103" s="12">
        <v>0</v>
      </c>
      <c r="I103" s="26">
        <v>0</v>
      </c>
      <c r="J103" s="22"/>
    </row>
    <row r="104" spans="2:10" hidden="1" x14ac:dyDescent="0.3">
      <c r="B104" s="11">
        <v>25</v>
      </c>
      <c r="C104" s="18" t="s">
        <v>37</v>
      </c>
      <c r="D104" s="24"/>
      <c r="E104" s="24"/>
      <c r="F104" s="25">
        <f t="shared" si="11"/>
        <v>0</v>
      </c>
      <c r="G104" s="24">
        <f t="shared" si="13"/>
        <v>165438</v>
      </c>
      <c r="H104" s="12">
        <v>0</v>
      </c>
      <c r="I104" s="26">
        <v>0</v>
      </c>
      <c r="J104" s="22"/>
    </row>
    <row r="105" spans="2:10" hidden="1" x14ac:dyDescent="0.3">
      <c r="B105" s="28">
        <v>26</v>
      </c>
      <c r="C105" s="29" t="s">
        <v>38</v>
      </c>
      <c r="D105" s="30"/>
      <c r="E105" s="30"/>
      <c r="F105" s="31">
        <f t="shared" si="11"/>
        <v>0</v>
      </c>
      <c r="G105" s="30">
        <f t="shared" si="13"/>
        <v>165438</v>
      </c>
      <c r="H105" s="32">
        <v>0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39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40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41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42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171" t="s">
        <v>46</v>
      </c>
      <c r="E113" s="171"/>
      <c r="F113" s="171"/>
      <c r="G113" s="171"/>
      <c r="H113" s="171"/>
      <c r="I113" s="171"/>
      <c r="J113" s="10"/>
    </row>
    <row r="114" spans="2:10" s="37" customFormat="1" ht="15.6" x14ac:dyDescent="0.3">
      <c r="B114" s="27"/>
      <c r="C114" s="27"/>
      <c r="D114" s="172" t="s">
        <v>49</v>
      </c>
      <c r="E114" s="172"/>
      <c r="F114" s="172"/>
      <c r="G114" s="172"/>
      <c r="H114" s="172"/>
      <c r="I114" s="172"/>
      <c r="J114" s="27"/>
    </row>
    <row r="115" spans="2:10" ht="15.9" customHeight="1" x14ac:dyDescent="0.3">
      <c r="B115" s="128" t="s">
        <v>84</v>
      </c>
      <c r="C115" s="128"/>
      <c r="D115" s="128"/>
      <c r="E115" s="128"/>
      <c r="F115" s="128"/>
      <c r="G115" s="128"/>
      <c r="H115" s="128"/>
      <c r="I115" s="128"/>
      <c r="J115" s="128"/>
    </row>
    <row r="116" spans="2:10" ht="14.4" customHeight="1" x14ac:dyDescent="0.3">
      <c r="B116" s="15"/>
      <c r="C116" s="16"/>
      <c r="D116" s="152" t="s">
        <v>6</v>
      </c>
      <c r="E116" s="153"/>
      <c r="F116" s="153"/>
      <c r="G116" s="154"/>
      <c r="H116" s="155" t="s">
        <v>7</v>
      </c>
      <c r="I116" s="156"/>
      <c r="J116" s="4"/>
    </row>
    <row r="117" spans="2:10" x14ac:dyDescent="0.3">
      <c r="B117" s="13"/>
      <c r="C117" s="14"/>
      <c r="D117" s="159" t="s">
        <v>9</v>
      </c>
      <c r="E117" s="160"/>
      <c r="F117" s="160"/>
      <c r="G117" s="161"/>
      <c r="H117" s="157"/>
      <c r="I117" s="158"/>
      <c r="J117" s="4"/>
    </row>
    <row r="118" spans="2:10" ht="14.4" customHeight="1" x14ac:dyDescent="0.3">
      <c r="B118" s="132" t="s">
        <v>10</v>
      </c>
      <c r="C118" s="134" t="s">
        <v>11</v>
      </c>
      <c r="D118" s="19" t="s">
        <v>12</v>
      </c>
      <c r="E118" s="19" t="s">
        <v>13</v>
      </c>
      <c r="F118" s="19" t="s">
        <v>14</v>
      </c>
      <c r="G118" s="19" t="s">
        <v>15</v>
      </c>
      <c r="H118" s="162" t="s">
        <v>16</v>
      </c>
      <c r="I118" s="134" t="s">
        <v>17</v>
      </c>
      <c r="J118" s="20"/>
    </row>
    <row r="119" spans="2:10" ht="35.4" customHeight="1" x14ac:dyDescent="0.3">
      <c r="B119" s="133"/>
      <c r="C119" s="135"/>
      <c r="D119" s="164" t="s">
        <v>20</v>
      </c>
      <c r="E119" s="165"/>
      <c r="F119" s="165"/>
      <c r="G119" s="166"/>
      <c r="H119" s="163"/>
      <c r="I119" s="135"/>
      <c r="J119" s="20"/>
    </row>
    <row r="120" spans="2:10" x14ac:dyDescent="0.3">
      <c r="B120" s="42">
        <v>4</v>
      </c>
      <c r="C120" s="40" t="s">
        <v>21</v>
      </c>
      <c r="D120" s="21">
        <v>537.5</v>
      </c>
      <c r="E120" s="21">
        <v>0</v>
      </c>
      <c r="F120" s="45">
        <f>+D120+E120</f>
        <v>537.5</v>
      </c>
      <c r="G120" s="21">
        <f>+F120</f>
        <v>537.5</v>
      </c>
      <c r="H120" s="46" t="e">
        <f t="shared" ref="H120:H130" si="14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472.5</v>
      </c>
      <c r="E121" s="26">
        <v>0</v>
      </c>
      <c r="F121" s="49">
        <f>+E121+D121</f>
        <v>472.5</v>
      </c>
      <c r="G121" s="26">
        <f>+G120+F121</f>
        <v>1010</v>
      </c>
      <c r="H121" s="50">
        <f t="shared" si="14"/>
        <v>-19.39345570630487</v>
      </c>
      <c r="I121" s="26">
        <v>1253</v>
      </c>
      <c r="J121" s="22"/>
    </row>
    <row r="122" spans="2:10" x14ac:dyDescent="0.3">
      <c r="B122" s="42">
        <v>6</v>
      </c>
      <c r="C122" s="40" t="s">
        <v>23</v>
      </c>
      <c r="D122" s="26">
        <v>0</v>
      </c>
      <c r="E122" s="26">
        <v>0</v>
      </c>
      <c r="F122" s="49">
        <f>+E122+D122</f>
        <v>0</v>
      </c>
      <c r="G122" s="26">
        <f t="shared" ref="G122" si="15">+G121+F122</f>
        <v>1010</v>
      </c>
      <c r="H122" s="50">
        <f t="shared" si="14"/>
        <v>-62.306400447844744</v>
      </c>
      <c r="I122" s="26">
        <f>+I121+1426.5</f>
        <v>2679.5</v>
      </c>
      <c r="J122" s="22"/>
    </row>
    <row r="123" spans="2:10" x14ac:dyDescent="0.3">
      <c r="B123" s="42">
        <v>7</v>
      </c>
      <c r="C123" s="40" t="s">
        <v>24</v>
      </c>
      <c r="D123" s="26">
        <v>0</v>
      </c>
      <c r="E123" s="26">
        <v>0</v>
      </c>
      <c r="F123" s="49">
        <f t="shared" ref="F123:F142" si="16">+E123+D123</f>
        <v>0</v>
      </c>
      <c r="G123" s="26">
        <f>+G122+F123</f>
        <v>1010</v>
      </c>
      <c r="H123" s="50">
        <f t="shared" si="14"/>
        <v>-62.306400447844744</v>
      </c>
      <c r="I123" s="26">
        <f>+I122+0</f>
        <v>2679.5</v>
      </c>
      <c r="J123" s="22"/>
    </row>
    <row r="124" spans="2:10" x14ac:dyDescent="0.3">
      <c r="B124" s="42">
        <v>8</v>
      </c>
      <c r="C124" s="40" t="s">
        <v>25</v>
      </c>
      <c r="D124" s="26">
        <v>0</v>
      </c>
      <c r="E124" s="26">
        <v>0</v>
      </c>
      <c r="F124" s="49">
        <f t="shared" si="16"/>
        <v>0</v>
      </c>
      <c r="G124" s="26">
        <f t="shared" ref="G124:G130" si="17">+G123+F124</f>
        <v>1010</v>
      </c>
      <c r="H124" s="50">
        <f t="shared" si="14"/>
        <v>-62.306400447844744</v>
      </c>
      <c r="I124" s="26">
        <v>2679.5</v>
      </c>
      <c r="J124" s="22"/>
    </row>
    <row r="125" spans="2:10" x14ac:dyDescent="0.3">
      <c r="B125" s="42">
        <v>9</v>
      </c>
      <c r="C125" s="40" t="s">
        <v>26</v>
      </c>
      <c r="D125" s="26">
        <v>1387.5</v>
      </c>
      <c r="E125" s="26">
        <v>0</v>
      </c>
      <c r="F125" s="49">
        <f t="shared" si="16"/>
        <v>1387.5</v>
      </c>
      <c r="G125" s="26">
        <f t="shared" si="17"/>
        <v>2397.5</v>
      </c>
      <c r="H125" s="50">
        <f t="shared" si="14"/>
        <v>-40.174672489082965</v>
      </c>
      <c r="I125" s="26">
        <f>+I124+1328</f>
        <v>4007.5</v>
      </c>
      <c r="J125" s="22"/>
    </row>
    <row r="126" spans="2:10" x14ac:dyDescent="0.3">
      <c r="B126" s="42">
        <v>10</v>
      </c>
      <c r="C126" s="40" t="s">
        <v>67</v>
      </c>
      <c r="D126" s="26">
        <v>0</v>
      </c>
      <c r="E126" s="26">
        <v>0</v>
      </c>
      <c r="F126" s="49">
        <f t="shared" si="16"/>
        <v>0</v>
      </c>
      <c r="G126" s="26">
        <f t="shared" si="17"/>
        <v>2397.5</v>
      </c>
      <c r="H126" s="50">
        <f t="shared" si="14"/>
        <v>-41.652470187393526</v>
      </c>
      <c r="I126" s="26">
        <f>+I125+101.5</f>
        <v>4109</v>
      </c>
      <c r="J126" s="22"/>
    </row>
    <row r="127" spans="2:10" x14ac:dyDescent="0.3">
      <c r="B127" s="42">
        <v>11</v>
      </c>
      <c r="C127" s="40" t="s">
        <v>68</v>
      </c>
      <c r="D127" s="26">
        <v>1605</v>
      </c>
      <c r="E127" s="26">
        <v>0</v>
      </c>
      <c r="F127" s="49">
        <f t="shared" si="16"/>
        <v>1605</v>
      </c>
      <c r="G127" s="26">
        <f t="shared" si="17"/>
        <v>4002.5</v>
      </c>
      <c r="H127" s="50">
        <f t="shared" si="14"/>
        <v>-2.5918715015818936</v>
      </c>
      <c r="I127" s="26">
        <f>+I126</f>
        <v>4109</v>
      </c>
      <c r="J127" s="22"/>
    </row>
    <row r="128" spans="2:10" x14ac:dyDescent="0.3">
      <c r="B128" s="42">
        <v>12</v>
      </c>
      <c r="C128" s="40" t="s">
        <v>83</v>
      </c>
      <c r="D128" s="26">
        <v>0</v>
      </c>
      <c r="E128" s="26">
        <v>0</v>
      </c>
      <c r="F128" s="49">
        <f t="shared" si="16"/>
        <v>0</v>
      </c>
      <c r="G128" s="26">
        <f t="shared" si="17"/>
        <v>4002.5</v>
      </c>
      <c r="H128" s="50">
        <f t="shared" si="14"/>
        <v>-2.5918715015818936</v>
      </c>
      <c r="I128" s="26">
        <f>+I127+0</f>
        <v>4109</v>
      </c>
      <c r="J128" s="22"/>
    </row>
    <row r="129" spans="2:10" x14ac:dyDescent="0.3">
      <c r="B129" s="42">
        <v>13</v>
      </c>
      <c r="C129" s="40" t="s">
        <v>69</v>
      </c>
      <c r="D129" s="26">
        <v>0</v>
      </c>
      <c r="E129" s="26">
        <v>0</v>
      </c>
      <c r="F129" s="49">
        <f t="shared" si="16"/>
        <v>0</v>
      </c>
      <c r="G129" s="26">
        <f t="shared" si="17"/>
        <v>4002.5</v>
      </c>
      <c r="H129" s="50">
        <f t="shared" si="14"/>
        <v>-2.5918715015818936</v>
      </c>
      <c r="I129" s="26">
        <v>4109</v>
      </c>
      <c r="J129" s="22"/>
    </row>
    <row r="130" spans="2:10" x14ac:dyDescent="0.3">
      <c r="B130" s="42">
        <v>14</v>
      </c>
      <c r="C130" s="86" t="s">
        <v>70</v>
      </c>
      <c r="D130" s="26">
        <v>0</v>
      </c>
      <c r="E130" s="26">
        <v>0</v>
      </c>
      <c r="F130" s="49">
        <f t="shared" si="16"/>
        <v>0</v>
      </c>
      <c r="G130" s="26">
        <f t="shared" si="17"/>
        <v>4002.5</v>
      </c>
      <c r="H130" s="50">
        <f t="shared" si="14"/>
        <v>-2.5918715015818936</v>
      </c>
      <c r="I130" s="26">
        <f>+I129+0</f>
        <v>4109</v>
      </c>
      <c r="J130" s="22"/>
    </row>
    <row r="131" spans="2:10" hidden="1" x14ac:dyDescent="0.3">
      <c r="B131" s="11">
        <v>15</v>
      </c>
      <c r="C131" s="17" t="s">
        <v>27</v>
      </c>
      <c r="D131" s="24"/>
      <c r="E131" s="24"/>
      <c r="F131" s="25">
        <f t="shared" si="16"/>
        <v>0</v>
      </c>
      <c r="G131" s="24">
        <f t="shared" ref="G131:G142" si="18">+G130+F131</f>
        <v>4002.5</v>
      </c>
      <c r="H131" s="12">
        <v>0</v>
      </c>
      <c r="I131" s="26">
        <v>0</v>
      </c>
      <c r="J131" s="22"/>
    </row>
    <row r="132" spans="2:10" hidden="1" x14ac:dyDescent="0.3">
      <c r="B132" s="11">
        <v>16</v>
      </c>
      <c r="C132" s="17" t="s">
        <v>28</v>
      </c>
      <c r="D132" s="24"/>
      <c r="E132" s="24"/>
      <c r="F132" s="25">
        <f t="shared" si="16"/>
        <v>0</v>
      </c>
      <c r="G132" s="24">
        <f t="shared" si="18"/>
        <v>4002.5</v>
      </c>
      <c r="H132" s="12">
        <v>0</v>
      </c>
      <c r="I132" s="26">
        <v>0</v>
      </c>
      <c r="J132" s="22"/>
    </row>
    <row r="133" spans="2:10" hidden="1" x14ac:dyDescent="0.3">
      <c r="B133" s="11">
        <v>17</v>
      </c>
      <c r="C133" s="17" t="s">
        <v>29</v>
      </c>
      <c r="D133" s="24"/>
      <c r="E133" s="24"/>
      <c r="F133" s="25">
        <f t="shared" si="16"/>
        <v>0</v>
      </c>
      <c r="G133" s="24">
        <f t="shared" si="18"/>
        <v>4002.5</v>
      </c>
      <c r="H133" s="12">
        <v>0</v>
      </c>
      <c r="I133" s="26">
        <v>0</v>
      </c>
      <c r="J133" s="22"/>
    </row>
    <row r="134" spans="2:10" hidden="1" x14ac:dyDescent="0.3">
      <c r="B134" s="11">
        <v>18</v>
      </c>
      <c r="C134" s="17" t="s">
        <v>30</v>
      </c>
      <c r="D134" s="24"/>
      <c r="E134" s="24"/>
      <c r="F134" s="25">
        <f t="shared" si="16"/>
        <v>0</v>
      </c>
      <c r="G134" s="24">
        <f t="shared" si="18"/>
        <v>4002.5</v>
      </c>
      <c r="H134" s="12">
        <v>0</v>
      </c>
      <c r="I134" s="26">
        <v>0</v>
      </c>
      <c r="J134" s="22"/>
    </row>
    <row r="135" spans="2:10" hidden="1" x14ac:dyDescent="0.3">
      <c r="B135" s="11">
        <v>19</v>
      </c>
      <c r="C135" s="17" t="s">
        <v>31</v>
      </c>
      <c r="D135" s="24"/>
      <c r="E135" s="24"/>
      <c r="F135" s="25">
        <f t="shared" si="16"/>
        <v>0</v>
      </c>
      <c r="G135" s="24">
        <f t="shared" si="18"/>
        <v>4002.5</v>
      </c>
      <c r="H135" s="12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32</v>
      </c>
      <c r="D136" s="24"/>
      <c r="E136" s="24"/>
      <c r="F136" s="25">
        <f t="shared" si="16"/>
        <v>0</v>
      </c>
      <c r="G136" s="24">
        <f t="shared" si="18"/>
        <v>4002.5</v>
      </c>
      <c r="H136" s="12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33</v>
      </c>
      <c r="D137" s="24"/>
      <c r="E137" s="24"/>
      <c r="F137" s="25">
        <f t="shared" si="16"/>
        <v>0</v>
      </c>
      <c r="G137" s="24">
        <f t="shared" si="18"/>
        <v>4002.5</v>
      </c>
      <c r="H137" s="12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34</v>
      </c>
      <c r="D138" s="24"/>
      <c r="E138" s="24"/>
      <c r="F138" s="25">
        <f t="shared" si="16"/>
        <v>0</v>
      </c>
      <c r="G138" s="24">
        <f t="shared" si="18"/>
        <v>4002.5</v>
      </c>
      <c r="H138" s="12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35</v>
      </c>
      <c r="D139" s="24"/>
      <c r="E139" s="24"/>
      <c r="F139" s="25">
        <f t="shared" si="16"/>
        <v>0</v>
      </c>
      <c r="G139" s="24">
        <f t="shared" si="18"/>
        <v>4002.5</v>
      </c>
      <c r="H139" s="12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36</v>
      </c>
      <c r="D140" s="24"/>
      <c r="E140" s="24"/>
      <c r="F140" s="25">
        <f t="shared" si="16"/>
        <v>0</v>
      </c>
      <c r="G140" s="24">
        <f t="shared" si="18"/>
        <v>4002.5</v>
      </c>
      <c r="H140" s="12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37</v>
      </c>
      <c r="D141" s="24"/>
      <c r="E141" s="24"/>
      <c r="F141" s="25">
        <f t="shared" si="16"/>
        <v>0</v>
      </c>
      <c r="G141" s="24">
        <f t="shared" si="18"/>
        <v>4002.5</v>
      </c>
      <c r="H141" s="12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38</v>
      </c>
      <c r="D142" s="30"/>
      <c r="E142" s="30"/>
      <c r="F142" s="31">
        <f t="shared" si="16"/>
        <v>0</v>
      </c>
      <c r="G142" s="30">
        <f t="shared" si="18"/>
        <v>4002.5</v>
      </c>
      <c r="H142" s="32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39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40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41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42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C5A8F-C700-4DEF-8FA4-C32871188E68}">
  <sheetPr codeName="Sheet6"/>
  <dimension ref="B3:L147"/>
  <sheetViews>
    <sheetView topLeftCell="A121" workbookViewId="0">
      <selection activeCell="A131" sqref="A131:XFD142"/>
    </sheetView>
  </sheetViews>
  <sheetFormatPr defaultColWidth="9" defaultRowHeight="14.4" x14ac:dyDescent="0.3"/>
  <cols>
    <col min="1" max="1" width="2" style="3" customWidth="1"/>
    <col min="2" max="2" width="7.37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9" width="13" style="3" customWidth="1"/>
    <col min="10" max="16384" width="9" style="3"/>
  </cols>
  <sheetData>
    <row r="3" spans="2:12" s="37" customFormat="1" ht="18" x14ac:dyDescent="0.35">
      <c r="B3" s="27"/>
      <c r="C3" s="27"/>
      <c r="D3" s="151" t="s">
        <v>50</v>
      </c>
      <c r="E3" s="151"/>
      <c r="F3" s="151"/>
      <c r="G3" s="151"/>
      <c r="H3" s="151"/>
      <c r="I3" s="151"/>
      <c r="J3" s="27"/>
      <c r="K3" s="38"/>
      <c r="L3" s="2"/>
    </row>
    <row r="4" spans="2:12" ht="15.9" customHeight="1" x14ac:dyDescent="0.3">
      <c r="B4" s="128" t="s">
        <v>84</v>
      </c>
      <c r="C4" s="128"/>
      <c r="D4" s="128"/>
      <c r="E4" s="128"/>
      <c r="F4" s="128"/>
      <c r="G4" s="128"/>
      <c r="H4" s="128"/>
      <c r="I4" s="128"/>
      <c r="J4" s="128"/>
      <c r="K4" s="1"/>
      <c r="L4" s="2"/>
    </row>
    <row r="5" spans="2:12" ht="14.4" customHeight="1" x14ac:dyDescent="0.3">
      <c r="B5" s="15"/>
      <c r="C5" s="16"/>
      <c r="D5" s="152" t="s">
        <v>6</v>
      </c>
      <c r="E5" s="153"/>
      <c r="F5" s="153"/>
      <c r="G5" s="154"/>
      <c r="H5" s="155" t="s">
        <v>7</v>
      </c>
      <c r="I5" s="156"/>
      <c r="J5" s="4"/>
      <c r="K5" s="1"/>
      <c r="L5" s="2"/>
    </row>
    <row r="6" spans="2:12" x14ac:dyDescent="0.3">
      <c r="B6" s="13"/>
      <c r="C6" s="14"/>
      <c r="D6" s="159" t="s">
        <v>9</v>
      </c>
      <c r="E6" s="160"/>
      <c r="F6" s="160"/>
      <c r="G6" s="161"/>
      <c r="H6" s="157"/>
      <c r="I6" s="158"/>
      <c r="J6" s="4"/>
      <c r="K6" s="1"/>
      <c r="L6" s="2"/>
    </row>
    <row r="7" spans="2:12" ht="18.899999999999999" customHeight="1" x14ac:dyDescent="0.3">
      <c r="B7" s="132" t="s">
        <v>10</v>
      </c>
      <c r="C7" s="134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62" t="s">
        <v>16</v>
      </c>
      <c r="I7" s="134" t="s">
        <v>17</v>
      </c>
      <c r="J7" s="20"/>
      <c r="K7" s="1"/>
      <c r="L7" s="2"/>
    </row>
    <row r="8" spans="2:12" ht="36.6" customHeight="1" x14ac:dyDescent="0.3">
      <c r="B8" s="133"/>
      <c r="C8" s="135"/>
      <c r="D8" s="164" t="s">
        <v>20</v>
      </c>
      <c r="E8" s="165"/>
      <c r="F8" s="165"/>
      <c r="G8" s="166"/>
      <c r="H8" s="163"/>
      <c r="I8" s="135"/>
      <c r="J8" s="20"/>
      <c r="K8" s="1"/>
    </row>
    <row r="9" spans="2:12" x14ac:dyDescent="0.3">
      <c r="B9" s="42">
        <v>4</v>
      </c>
      <c r="C9" s="40" t="s">
        <v>21</v>
      </c>
      <c r="D9" s="21">
        <v>386194</v>
      </c>
      <c r="E9" s="21">
        <v>0</v>
      </c>
      <c r="F9" s="45">
        <f>+D9+E9</f>
        <v>386194</v>
      </c>
      <c r="G9" s="21">
        <f>+F9</f>
        <v>386194</v>
      </c>
      <c r="H9" s="46">
        <f t="shared" ref="H9:H19" si="0">((G9-I9)/I9)*100</f>
        <v>25.312698491243466</v>
      </c>
      <c r="I9" s="21">
        <v>308184.25</v>
      </c>
      <c r="J9" s="22"/>
      <c r="K9" s="1"/>
    </row>
    <row r="10" spans="2:12" x14ac:dyDescent="0.3">
      <c r="B10" s="42">
        <v>5</v>
      </c>
      <c r="C10" s="40" t="s">
        <v>22</v>
      </c>
      <c r="D10" s="26">
        <v>472540.01</v>
      </c>
      <c r="E10" s="26">
        <v>0</v>
      </c>
      <c r="F10" s="49">
        <f>+E10+D10</f>
        <v>472540.01</v>
      </c>
      <c r="G10" s="26">
        <f>+G9+F10</f>
        <v>858734.01</v>
      </c>
      <c r="H10" s="50">
        <f t="shared" si="0"/>
        <v>-2.2520566578687125</v>
      </c>
      <c r="I10" s="26">
        <f>+I9+570334.5</f>
        <v>878518.75</v>
      </c>
      <c r="J10" s="22"/>
      <c r="K10" s="1"/>
    </row>
    <row r="11" spans="2:12" x14ac:dyDescent="0.3">
      <c r="B11" s="42">
        <v>6</v>
      </c>
      <c r="C11" s="40" t="s">
        <v>23</v>
      </c>
      <c r="D11" s="26">
        <v>518051.5</v>
      </c>
      <c r="E11" s="26">
        <v>0</v>
      </c>
      <c r="F11" s="49">
        <f>+E11+D11</f>
        <v>518051.5</v>
      </c>
      <c r="G11" s="26">
        <f t="shared" ref="G11:G31" si="1">+G10+F11</f>
        <v>1376785.51</v>
      </c>
      <c r="H11" s="50">
        <f t="shared" si="0"/>
        <v>12.154008005117301</v>
      </c>
      <c r="I11" s="26">
        <f>+I10+349066.01</f>
        <v>1227584.76</v>
      </c>
      <c r="J11" s="22"/>
      <c r="K11" s="1"/>
    </row>
    <row r="12" spans="2:12" x14ac:dyDescent="0.3">
      <c r="B12" s="42">
        <v>7</v>
      </c>
      <c r="C12" s="40" t="s">
        <v>24</v>
      </c>
      <c r="D12" s="26">
        <v>506029.52</v>
      </c>
      <c r="E12" s="26">
        <v>225496</v>
      </c>
      <c r="F12" s="49">
        <f t="shared" ref="F12:F31" si="2">+E12+D12</f>
        <v>731525.52</v>
      </c>
      <c r="G12" s="26">
        <f>+G11+F12</f>
        <v>2108311.0300000003</v>
      </c>
      <c r="H12" s="50">
        <f t="shared" si="0"/>
        <v>20.059303621414525</v>
      </c>
      <c r="I12" s="26">
        <f>+I11+528473.26</f>
        <v>1756058.02</v>
      </c>
      <c r="J12" s="22"/>
      <c r="K12" s="1"/>
    </row>
    <row r="13" spans="2:12" x14ac:dyDescent="0.3">
      <c r="B13" s="42">
        <v>8</v>
      </c>
      <c r="C13" s="40" t="s">
        <v>25</v>
      </c>
      <c r="D13" s="26">
        <v>327481.5</v>
      </c>
      <c r="E13" s="26">
        <v>0</v>
      </c>
      <c r="F13" s="49">
        <f t="shared" si="2"/>
        <v>327481.5</v>
      </c>
      <c r="G13" s="26">
        <f t="shared" ref="G13:G19" si="3">+G12+F13</f>
        <v>2435792.5300000003</v>
      </c>
      <c r="H13" s="50">
        <f t="shared" si="0"/>
        <v>18.488650014363365</v>
      </c>
      <c r="I13" s="26">
        <v>2055718.02</v>
      </c>
      <c r="J13" s="22"/>
      <c r="K13" s="1"/>
    </row>
    <row r="14" spans="2:12" x14ac:dyDescent="0.3">
      <c r="B14" s="42">
        <v>9</v>
      </c>
      <c r="C14" s="40" t="s">
        <v>26</v>
      </c>
      <c r="D14" s="26">
        <v>157341</v>
      </c>
      <c r="E14" s="26">
        <v>0</v>
      </c>
      <c r="F14" s="49">
        <f t="shared" si="2"/>
        <v>157341</v>
      </c>
      <c r="G14" s="26">
        <f t="shared" si="3"/>
        <v>2593133.5300000003</v>
      </c>
      <c r="H14" s="50">
        <f t="shared" si="0"/>
        <v>11.967401832043846</v>
      </c>
      <c r="I14" s="26">
        <f>+I13+260253.85</f>
        <v>2315971.87</v>
      </c>
      <c r="J14" s="22"/>
      <c r="K14" s="1"/>
    </row>
    <row r="15" spans="2:12" x14ac:dyDescent="0.3">
      <c r="B15" s="42">
        <v>10</v>
      </c>
      <c r="C15" s="40" t="s">
        <v>67</v>
      </c>
      <c r="D15" s="26">
        <v>648003.5</v>
      </c>
      <c r="E15" s="26">
        <v>0</v>
      </c>
      <c r="F15" s="49">
        <f t="shared" si="2"/>
        <v>648003.5</v>
      </c>
      <c r="G15" s="26">
        <f t="shared" si="3"/>
        <v>3241137.0300000003</v>
      </c>
      <c r="H15" s="50">
        <f t="shared" si="0"/>
        <v>15.25737845669371</v>
      </c>
      <c r="I15" s="26">
        <f>+I14+496114.5</f>
        <v>2812086.37</v>
      </c>
      <c r="J15" s="22"/>
      <c r="K15" s="1"/>
    </row>
    <row r="16" spans="2:12" x14ac:dyDescent="0.3">
      <c r="B16" s="42">
        <v>11</v>
      </c>
      <c r="C16" s="40" t="s">
        <v>68</v>
      </c>
      <c r="D16" s="26">
        <v>185132.5</v>
      </c>
      <c r="E16" s="26">
        <v>0</v>
      </c>
      <c r="F16" s="49">
        <f t="shared" si="2"/>
        <v>185132.5</v>
      </c>
      <c r="G16" s="26">
        <f t="shared" si="3"/>
        <v>3426269.5300000003</v>
      </c>
      <c r="H16" s="50">
        <f t="shared" si="0"/>
        <v>15.716153677295546</v>
      </c>
      <c r="I16" s="26">
        <f>+I15+148839.5</f>
        <v>2960925.87</v>
      </c>
      <c r="J16" s="22"/>
      <c r="K16" s="1"/>
    </row>
    <row r="17" spans="2:11" x14ac:dyDescent="0.3">
      <c r="B17" s="42">
        <v>12</v>
      </c>
      <c r="C17" s="40" t="s">
        <v>83</v>
      </c>
      <c r="D17" s="26">
        <v>105394.5</v>
      </c>
      <c r="E17" s="26">
        <v>0</v>
      </c>
      <c r="F17" s="49">
        <f t="shared" si="2"/>
        <v>105394.5</v>
      </c>
      <c r="G17" s="26">
        <f t="shared" si="3"/>
        <v>3531664.0300000003</v>
      </c>
      <c r="H17" s="50">
        <f t="shared" si="0"/>
        <v>18.083237992053348</v>
      </c>
      <c r="I17" s="26">
        <f>+I16+29900</f>
        <v>2990825.87</v>
      </c>
      <c r="J17" s="22"/>
      <c r="K17" s="1"/>
    </row>
    <row r="18" spans="2:11" x14ac:dyDescent="0.3">
      <c r="B18" s="42">
        <v>13</v>
      </c>
      <c r="C18" s="40" t="s">
        <v>69</v>
      </c>
      <c r="D18" s="26">
        <v>28497.5</v>
      </c>
      <c r="E18" s="26">
        <v>0</v>
      </c>
      <c r="F18" s="49">
        <f t="shared" si="2"/>
        <v>28497.5</v>
      </c>
      <c r="G18" s="26">
        <f t="shared" si="3"/>
        <v>3560161.5300000003</v>
      </c>
      <c r="H18" s="50">
        <f t="shared" si="0"/>
        <v>16.450110308086295</v>
      </c>
      <c r="I18" s="26">
        <v>3057241.87</v>
      </c>
      <c r="J18" s="22"/>
      <c r="K18" s="1"/>
    </row>
    <row r="19" spans="2:11" x14ac:dyDescent="0.3">
      <c r="B19" s="42">
        <v>14</v>
      </c>
      <c r="C19" s="86" t="s">
        <v>70</v>
      </c>
      <c r="D19" s="26">
        <v>895</v>
      </c>
      <c r="E19" s="26">
        <v>0</v>
      </c>
      <c r="F19" s="49">
        <f t="shared" si="2"/>
        <v>895</v>
      </c>
      <c r="G19" s="26">
        <f t="shared" si="3"/>
        <v>3561056.5300000003</v>
      </c>
      <c r="H19" s="50">
        <f t="shared" si="0"/>
        <v>16.465670855963996</v>
      </c>
      <c r="I19" s="26">
        <f>+I18+360</f>
        <v>3057601.87</v>
      </c>
      <c r="J19" s="22"/>
      <c r="K19" s="1"/>
    </row>
    <row r="20" spans="2:11" hidden="1" x14ac:dyDescent="0.3">
      <c r="B20" s="11">
        <v>15</v>
      </c>
      <c r="C20" s="17" t="s">
        <v>27</v>
      </c>
      <c r="D20" s="24"/>
      <c r="E20" s="24"/>
      <c r="F20" s="25">
        <f t="shared" si="2"/>
        <v>0</v>
      </c>
      <c r="G20" s="24">
        <f t="shared" si="1"/>
        <v>3561056.5300000003</v>
      </c>
      <c r="H20" s="12">
        <v>0</v>
      </c>
      <c r="I20" s="26">
        <v>0</v>
      </c>
      <c r="J20" s="22"/>
      <c r="K20" s="1"/>
    </row>
    <row r="21" spans="2:11" hidden="1" x14ac:dyDescent="0.3">
      <c r="B21" s="11">
        <v>16</v>
      </c>
      <c r="C21" s="17" t="s">
        <v>28</v>
      </c>
      <c r="D21" s="24"/>
      <c r="E21" s="24"/>
      <c r="F21" s="25">
        <f t="shared" si="2"/>
        <v>0</v>
      </c>
      <c r="G21" s="24">
        <f t="shared" si="1"/>
        <v>3561056.5300000003</v>
      </c>
      <c r="H21" s="12">
        <v>0</v>
      </c>
      <c r="I21" s="26">
        <v>0</v>
      </c>
      <c r="J21" s="22"/>
      <c r="K21" s="1"/>
    </row>
    <row r="22" spans="2:11" hidden="1" x14ac:dyDescent="0.3">
      <c r="B22" s="11">
        <v>17</v>
      </c>
      <c r="C22" s="17" t="s">
        <v>29</v>
      </c>
      <c r="D22" s="24"/>
      <c r="E22" s="24"/>
      <c r="F22" s="25">
        <f t="shared" si="2"/>
        <v>0</v>
      </c>
      <c r="G22" s="24">
        <f t="shared" si="1"/>
        <v>3561056.5300000003</v>
      </c>
      <c r="H22" s="12">
        <v>0</v>
      </c>
      <c r="I22" s="26">
        <v>0</v>
      </c>
      <c r="J22" s="22"/>
      <c r="K22" s="1"/>
    </row>
    <row r="23" spans="2:11" hidden="1" x14ac:dyDescent="0.3">
      <c r="B23" s="11">
        <v>18</v>
      </c>
      <c r="C23" s="17" t="s">
        <v>30</v>
      </c>
      <c r="D23" s="24"/>
      <c r="E23" s="24"/>
      <c r="F23" s="25">
        <f t="shared" si="2"/>
        <v>0</v>
      </c>
      <c r="G23" s="24">
        <f t="shared" si="1"/>
        <v>3561056.5300000003</v>
      </c>
      <c r="H23" s="12">
        <v>0</v>
      </c>
      <c r="I23" s="26">
        <v>0</v>
      </c>
      <c r="J23" s="22"/>
      <c r="K23" s="1"/>
    </row>
    <row r="24" spans="2:11" hidden="1" x14ac:dyDescent="0.3">
      <c r="B24" s="11">
        <v>19</v>
      </c>
      <c r="C24" s="17" t="s">
        <v>31</v>
      </c>
      <c r="D24" s="24"/>
      <c r="E24" s="24"/>
      <c r="F24" s="25">
        <f t="shared" si="2"/>
        <v>0</v>
      </c>
      <c r="G24" s="24">
        <f t="shared" si="1"/>
        <v>3561056.5300000003</v>
      </c>
      <c r="H24" s="12">
        <v>0</v>
      </c>
      <c r="I24" s="26">
        <v>0</v>
      </c>
      <c r="J24" s="22"/>
      <c r="K24" s="1"/>
    </row>
    <row r="25" spans="2:11" hidden="1" x14ac:dyDescent="0.3">
      <c r="B25" s="11">
        <v>20</v>
      </c>
      <c r="C25" s="17" t="s">
        <v>32</v>
      </c>
      <c r="D25" s="24"/>
      <c r="E25" s="24"/>
      <c r="F25" s="25">
        <f t="shared" si="2"/>
        <v>0</v>
      </c>
      <c r="G25" s="24">
        <f t="shared" si="1"/>
        <v>3561056.5300000003</v>
      </c>
      <c r="H25" s="12">
        <v>0</v>
      </c>
      <c r="I25" s="26">
        <v>0</v>
      </c>
      <c r="J25" s="22"/>
      <c r="K25" s="1"/>
    </row>
    <row r="26" spans="2:11" hidden="1" x14ac:dyDescent="0.3">
      <c r="B26" s="11">
        <v>21</v>
      </c>
      <c r="C26" s="17" t="s">
        <v>33</v>
      </c>
      <c r="D26" s="24"/>
      <c r="E26" s="24"/>
      <c r="F26" s="25">
        <f t="shared" si="2"/>
        <v>0</v>
      </c>
      <c r="G26" s="24">
        <f t="shared" si="1"/>
        <v>3561056.5300000003</v>
      </c>
      <c r="H26" s="12">
        <v>0</v>
      </c>
      <c r="I26" s="26">
        <v>0</v>
      </c>
      <c r="J26" s="22"/>
      <c r="K26" s="1"/>
    </row>
    <row r="27" spans="2:11" hidden="1" x14ac:dyDescent="0.3">
      <c r="B27" s="11">
        <v>22</v>
      </c>
      <c r="C27" s="17" t="s">
        <v>34</v>
      </c>
      <c r="D27" s="24"/>
      <c r="E27" s="24"/>
      <c r="F27" s="25">
        <f t="shared" si="2"/>
        <v>0</v>
      </c>
      <c r="G27" s="24">
        <f t="shared" si="1"/>
        <v>3561056.5300000003</v>
      </c>
      <c r="H27" s="12">
        <v>0</v>
      </c>
      <c r="I27" s="26">
        <v>0</v>
      </c>
      <c r="J27" s="22"/>
      <c r="K27" s="1"/>
    </row>
    <row r="28" spans="2:11" hidden="1" x14ac:dyDescent="0.3">
      <c r="B28" s="11">
        <v>23</v>
      </c>
      <c r="C28" s="17" t="s">
        <v>35</v>
      </c>
      <c r="D28" s="24"/>
      <c r="E28" s="24"/>
      <c r="F28" s="25">
        <f t="shared" si="2"/>
        <v>0</v>
      </c>
      <c r="G28" s="24">
        <f t="shared" si="1"/>
        <v>3561056.5300000003</v>
      </c>
      <c r="H28" s="12">
        <v>0</v>
      </c>
      <c r="I28" s="26">
        <v>0</v>
      </c>
      <c r="J28" s="22"/>
      <c r="K28" s="1"/>
    </row>
    <row r="29" spans="2:11" hidden="1" x14ac:dyDescent="0.3">
      <c r="B29" s="11">
        <v>24</v>
      </c>
      <c r="C29" s="17" t="s">
        <v>36</v>
      </c>
      <c r="D29" s="24"/>
      <c r="E29" s="24"/>
      <c r="F29" s="25">
        <f t="shared" si="2"/>
        <v>0</v>
      </c>
      <c r="G29" s="24">
        <f t="shared" si="1"/>
        <v>3561056.5300000003</v>
      </c>
      <c r="H29" s="12">
        <v>0</v>
      </c>
      <c r="I29" s="26">
        <v>0</v>
      </c>
      <c r="J29" s="22"/>
      <c r="K29" s="1"/>
    </row>
    <row r="30" spans="2:11" hidden="1" x14ac:dyDescent="0.3">
      <c r="B30" s="11">
        <v>25</v>
      </c>
      <c r="C30" s="18" t="s">
        <v>37</v>
      </c>
      <c r="D30" s="24"/>
      <c r="E30" s="24"/>
      <c r="F30" s="25">
        <f t="shared" si="2"/>
        <v>0</v>
      </c>
      <c r="G30" s="24">
        <f t="shared" si="1"/>
        <v>3561056.5300000003</v>
      </c>
      <c r="H30" s="12">
        <v>0</v>
      </c>
      <c r="I30" s="26">
        <v>0</v>
      </c>
      <c r="J30" s="22"/>
      <c r="K30" s="1"/>
    </row>
    <row r="31" spans="2:11" hidden="1" x14ac:dyDescent="0.3">
      <c r="B31" s="28">
        <v>26</v>
      </c>
      <c r="C31" s="29" t="s">
        <v>38</v>
      </c>
      <c r="D31" s="30"/>
      <c r="E31" s="30"/>
      <c r="F31" s="31">
        <f t="shared" si="2"/>
        <v>0</v>
      </c>
      <c r="G31" s="30">
        <f t="shared" si="1"/>
        <v>3561056.5300000003</v>
      </c>
      <c r="H31" s="32">
        <v>0</v>
      </c>
      <c r="I31" s="33">
        <v>0</v>
      </c>
      <c r="J31" s="22"/>
      <c r="K31" s="1"/>
    </row>
    <row r="32" spans="2:11" x14ac:dyDescent="0.3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">
      <c r="B33" s="8" t="s">
        <v>39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">
      <c r="B34" s="9" t="s">
        <v>40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">
      <c r="B35" s="9" t="s">
        <v>41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">
      <c r="B36" s="9" t="s">
        <v>42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" x14ac:dyDescent="0.35">
      <c r="B39" s="10"/>
      <c r="C39" s="10"/>
      <c r="D39" s="167" t="s">
        <v>43</v>
      </c>
      <c r="E39" s="167"/>
      <c r="F39" s="167"/>
      <c r="G39" s="167"/>
      <c r="H39" s="167"/>
      <c r="I39" s="167"/>
      <c r="J39" s="10"/>
    </row>
    <row r="40" spans="2:11" s="37" customFormat="1" ht="15.6" x14ac:dyDescent="0.3">
      <c r="B40" s="27"/>
      <c r="C40" s="27"/>
      <c r="D40" s="168" t="s">
        <v>50</v>
      </c>
      <c r="E40" s="168"/>
      <c r="F40" s="168"/>
      <c r="G40" s="168"/>
      <c r="H40" s="168"/>
      <c r="I40" s="168"/>
      <c r="J40" s="27"/>
    </row>
    <row r="41" spans="2:11" ht="15.9" customHeight="1" x14ac:dyDescent="0.3">
      <c r="B41" s="128" t="s">
        <v>84</v>
      </c>
      <c r="C41" s="128"/>
      <c r="D41" s="128"/>
      <c r="E41" s="128"/>
      <c r="F41" s="128"/>
      <c r="G41" s="128"/>
      <c r="H41" s="128"/>
      <c r="I41" s="128"/>
      <c r="J41" s="128"/>
    </row>
    <row r="42" spans="2:11" ht="14.4" customHeight="1" x14ac:dyDescent="0.3">
      <c r="B42" s="15"/>
      <c r="C42" s="16"/>
      <c r="D42" s="152" t="s">
        <v>6</v>
      </c>
      <c r="E42" s="153"/>
      <c r="F42" s="153"/>
      <c r="G42" s="154"/>
      <c r="H42" s="155" t="s">
        <v>7</v>
      </c>
      <c r="I42" s="156"/>
      <c r="J42" s="4"/>
    </row>
    <row r="43" spans="2:11" x14ac:dyDescent="0.3">
      <c r="B43" s="13"/>
      <c r="C43" s="14"/>
      <c r="D43" s="159" t="s">
        <v>9</v>
      </c>
      <c r="E43" s="160"/>
      <c r="F43" s="160"/>
      <c r="G43" s="161"/>
      <c r="H43" s="157"/>
      <c r="I43" s="158"/>
      <c r="J43" s="4"/>
    </row>
    <row r="44" spans="2:11" ht="14.4" customHeight="1" x14ac:dyDescent="0.3">
      <c r="B44" s="132" t="s">
        <v>10</v>
      </c>
      <c r="C44" s="134" t="s">
        <v>11</v>
      </c>
      <c r="D44" s="19" t="s">
        <v>12</v>
      </c>
      <c r="E44" s="19" t="s">
        <v>13</v>
      </c>
      <c r="F44" s="19" t="s">
        <v>14</v>
      </c>
      <c r="G44" s="19" t="s">
        <v>15</v>
      </c>
      <c r="H44" s="162" t="s">
        <v>16</v>
      </c>
      <c r="I44" s="134" t="s">
        <v>17</v>
      </c>
      <c r="J44" s="20"/>
    </row>
    <row r="45" spans="2:11" ht="39" customHeight="1" x14ac:dyDescent="0.3">
      <c r="B45" s="133"/>
      <c r="C45" s="135"/>
      <c r="D45" s="164" t="s">
        <v>20</v>
      </c>
      <c r="E45" s="165"/>
      <c r="F45" s="165"/>
      <c r="G45" s="166"/>
      <c r="H45" s="163"/>
      <c r="I45" s="135"/>
      <c r="J45" s="20"/>
    </row>
    <row r="46" spans="2:11" x14ac:dyDescent="0.3">
      <c r="B46" s="42">
        <v>4</v>
      </c>
      <c r="C46" s="40" t="s">
        <v>21</v>
      </c>
      <c r="D46" s="21">
        <v>375651</v>
      </c>
      <c r="E46" s="21">
        <v>0</v>
      </c>
      <c r="F46" s="45">
        <f>+D46+E46</f>
        <v>375651</v>
      </c>
      <c r="G46" s="21">
        <f>+F46</f>
        <v>375651</v>
      </c>
      <c r="H46" s="46">
        <f t="shared" ref="H46:H68" si="4">((G46-I46)/I46)*100</f>
        <v>21.891693037525442</v>
      </c>
      <c r="I46" s="21">
        <v>308184.25</v>
      </c>
      <c r="J46" s="22"/>
    </row>
    <row r="47" spans="2:11" x14ac:dyDescent="0.3">
      <c r="B47" s="42">
        <v>5</v>
      </c>
      <c r="C47" s="40" t="s">
        <v>22</v>
      </c>
      <c r="D47" s="26">
        <v>461471.51</v>
      </c>
      <c r="E47" s="26">
        <v>0</v>
      </c>
      <c r="F47" s="49">
        <f>+E47+D47</f>
        <v>461471.51</v>
      </c>
      <c r="G47" s="26">
        <f>+G46+F47</f>
        <v>837122.51</v>
      </c>
      <c r="H47" s="50">
        <f t="shared" si="4"/>
        <v>-4.0687727384328527</v>
      </c>
      <c r="I47" s="26">
        <f>+I46+564443.5</f>
        <v>872627.75</v>
      </c>
      <c r="J47" s="22"/>
    </row>
    <row r="48" spans="2:11" x14ac:dyDescent="0.3">
      <c r="B48" s="42">
        <v>6</v>
      </c>
      <c r="C48" s="40" t="s">
        <v>23</v>
      </c>
      <c r="D48" s="26">
        <v>518051.5</v>
      </c>
      <c r="E48" s="26">
        <v>0</v>
      </c>
      <c r="F48" s="49">
        <f>+E48+D48</f>
        <v>518051.5</v>
      </c>
      <c r="G48" s="26">
        <f t="shared" ref="G48" si="5">+G47+F48</f>
        <v>1355174.01</v>
      </c>
      <c r="H48" s="50">
        <f t="shared" si="4"/>
        <v>10.925835456505892</v>
      </c>
      <c r="I48" s="26">
        <f>+I47+349066.01</f>
        <v>1221693.76</v>
      </c>
      <c r="J48" s="22"/>
    </row>
    <row r="49" spans="2:10" x14ac:dyDescent="0.3">
      <c r="B49" s="42">
        <v>7</v>
      </c>
      <c r="C49" s="40" t="s">
        <v>24</v>
      </c>
      <c r="D49" s="26">
        <v>499721.52</v>
      </c>
      <c r="E49" s="26">
        <v>225496</v>
      </c>
      <c r="F49" s="49">
        <f t="shared" ref="F49:F68" si="6">+E49+D49</f>
        <v>725217.52</v>
      </c>
      <c r="G49" s="26">
        <f>+G48+F49</f>
        <v>2080391.53</v>
      </c>
      <c r="H49" s="50">
        <f t="shared" si="4"/>
        <v>18.868171221738596</v>
      </c>
      <c r="I49" s="26">
        <f>+I48+528473.26</f>
        <v>1750167.02</v>
      </c>
      <c r="J49" s="22"/>
    </row>
    <row r="50" spans="2:10" x14ac:dyDescent="0.3">
      <c r="B50" s="42">
        <v>8</v>
      </c>
      <c r="C50" s="40" t="s">
        <v>25</v>
      </c>
      <c r="D50" s="26">
        <v>327481.5</v>
      </c>
      <c r="E50" s="26">
        <v>0</v>
      </c>
      <c r="F50" s="49">
        <f t="shared" si="6"/>
        <v>327481.5</v>
      </c>
      <c r="G50" s="26">
        <f t="shared" ref="G50:G56" si="7">+G49+F50</f>
        <v>2407873.0300000003</v>
      </c>
      <c r="H50" s="50">
        <f t="shared" si="4"/>
        <v>17.467132909585718</v>
      </c>
      <c r="I50" s="26">
        <v>2049827.02</v>
      </c>
      <c r="J50" s="22"/>
    </row>
    <row r="51" spans="2:10" x14ac:dyDescent="0.3">
      <c r="B51" s="42">
        <v>9</v>
      </c>
      <c r="C51" s="40" t="s">
        <v>26</v>
      </c>
      <c r="D51" s="26">
        <v>157341</v>
      </c>
      <c r="E51" s="26">
        <v>0</v>
      </c>
      <c r="F51" s="49">
        <f t="shared" si="6"/>
        <v>157341</v>
      </c>
      <c r="G51" s="26">
        <f t="shared" si="7"/>
        <v>2565214.0300000003</v>
      </c>
      <c r="H51" s="50">
        <f t="shared" si="4"/>
        <v>11.044338893642287</v>
      </c>
      <c r="I51" s="26">
        <f>+I50+260253.85</f>
        <v>2310080.87</v>
      </c>
      <c r="J51" s="22"/>
    </row>
    <row r="52" spans="2:10" x14ac:dyDescent="0.3">
      <c r="B52" s="42">
        <v>10</v>
      </c>
      <c r="C52" s="40" t="s">
        <v>67</v>
      </c>
      <c r="D52" s="26">
        <v>648003.5</v>
      </c>
      <c r="E52" s="26">
        <v>0</v>
      </c>
      <c r="F52" s="49">
        <f t="shared" si="6"/>
        <v>648003.5</v>
      </c>
      <c r="G52" s="26">
        <f t="shared" si="7"/>
        <v>3213217.5300000003</v>
      </c>
      <c r="H52" s="50">
        <f t="shared" si="4"/>
        <v>14.504412784345808</v>
      </c>
      <c r="I52" s="26">
        <f>+I51+496114.5</f>
        <v>2806195.37</v>
      </c>
      <c r="J52" s="22"/>
    </row>
    <row r="53" spans="2:10" x14ac:dyDescent="0.3">
      <c r="B53" s="42">
        <v>11</v>
      </c>
      <c r="C53" s="40" t="s">
        <v>68</v>
      </c>
      <c r="D53" s="26">
        <v>185132.5</v>
      </c>
      <c r="E53" s="26">
        <v>0</v>
      </c>
      <c r="F53" s="49">
        <f t="shared" si="6"/>
        <v>185132.5</v>
      </c>
      <c r="G53" s="26">
        <f t="shared" si="7"/>
        <v>3398350.0300000003</v>
      </c>
      <c r="H53" s="50">
        <f t="shared" si="4"/>
        <v>15.002028047134353</v>
      </c>
      <c r="I53" s="26">
        <f>+I52+148839.5</f>
        <v>2955034.87</v>
      </c>
      <c r="J53" s="22"/>
    </row>
    <row r="54" spans="2:10" x14ac:dyDescent="0.3">
      <c r="B54" s="42">
        <v>12</v>
      </c>
      <c r="C54" s="40" t="s">
        <v>83</v>
      </c>
      <c r="D54" s="26">
        <v>105394.5</v>
      </c>
      <c r="E54" s="26">
        <v>0</v>
      </c>
      <c r="F54" s="49">
        <f t="shared" si="6"/>
        <v>105394.5</v>
      </c>
      <c r="G54" s="26">
        <f t="shared" si="7"/>
        <v>3503744.5300000003</v>
      </c>
      <c r="H54" s="50">
        <f>((G54-I54)/I54)*100</f>
        <v>17.380937360284854</v>
      </c>
      <c r="I54" s="26">
        <f>+I53+29900</f>
        <v>2984934.87</v>
      </c>
      <c r="J54" s="22"/>
    </row>
    <row r="55" spans="2:10" x14ac:dyDescent="0.3">
      <c r="B55" s="42">
        <v>13</v>
      </c>
      <c r="C55" s="40" t="s">
        <v>69</v>
      </c>
      <c r="D55" s="26">
        <v>28497.5</v>
      </c>
      <c r="E55" s="26">
        <v>0</v>
      </c>
      <c r="F55" s="49">
        <f t="shared" si="6"/>
        <v>28497.5</v>
      </c>
      <c r="G55" s="26">
        <f t="shared" si="7"/>
        <v>3532242.0300000003</v>
      </c>
      <c r="H55" s="50">
        <f>((G55-I55)/I55)*100</f>
        <v>15.759943070722645</v>
      </c>
      <c r="I55" s="26">
        <v>3051350.87</v>
      </c>
      <c r="J55" s="22"/>
    </row>
    <row r="56" spans="2:10" x14ac:dyDescent="0.3">
      <c r="B56" s="42">
        <v>14</v>
      </c>
      <c r="C56" s="86" t="s">
        <v>70</v>
      </c>
      <c r="D56" s="26">
        <v>895</v>
      </c>
      <c r="E56" s="26">
        <v>0</v>
      </c>
      <c r="F56" s="49">
        <f t="shared" si="6"/>
        <v>895</v>
      </c>
      <c r="G56" s="26">
        <f t="shared" si="7"/>
        <v>3533137.0300000003</v>
      </c>
      <c r="H56" s="50">
        <f>((G56-I56)/I56)*100</f>
        <v>15.775615073258894</v>
      </c>
      <c r="I56" s="26">
        <f>+I55+360</f>
        <v>3051710.87</v>
      </c>
      <c r="J56" s="22"/>
    </row>
    <row r="57" spans="2:10" hidden="1" x14ac:dyDescent="0.3">
      <c r="B57" s="11">
        <v>15</v>
      </c>
      <c r="C57" s="17" t="s">
        <v>27</v>
      </c>
      <c r="D57" s="24"/>
      <c r="E57" s="24"/>
      <c r="F57" s="25">
        <f t="shared" si="6"/>
        <v>0</v>
      </c>
      <c r="G57" s="24">
        <f t="shared" ref="G57:G68" si="8">+G56+F57</f>
        <v>3533137.0300000003</v>
      </c>
      <c r="H57" s="50" t="e">
        <f t="shared" si="4"/>
        <v>#DIV/0!</v>
      </c>
      <c r="I57" s="26">
        <v>0</v>
      </c>
      <c r="J57" s="22"/>
    </row>
    <row r="58" spans="2:10" hidden="1" x14ac:dyDescent="0.3">
      <c r="B58" s="11">
        <v>16</v>
      </c>
      <c r="C58" s="17" t="s">
        <v>28</v>
      </c>
      <c r="D58" s="24"/>
      <c r="E58" s="24"/>
      <c r="F58" s="25">
        <f t="shared" si="6"/>
        <v>0</v>
      </c>
      <c r="G58" s="24">
        <f t="shared" si="8"/>
        <v>3533137.0300000003</v>
      </c>
      <c r="H58" s="50" t="e">
        <f t="shared" si="4"/>
        <v>#DIV/0!</v>
      </c>
      <c r="I58" s="26">
        <v>0</v>
      </c>
      <c r="J58" s="22"/>
    </row>
    <row r="59" spans="2:10" hidden="1" x14ac:dyDescent="0.3">
      <c r="B59" s="11">
        <v>17</v>
      </c>
      <c r="C59" s="17" t="s">
        <v>29</v>
      </c>
      <c r="D59" s="24"/>
      <c r="E59" s="24"/>
      <c r="F59" s="25">
        <f t="shared" si="6"/>
        <v>0</v>
      </c>
      <c r="G59" s="24">
        <f t="shared" si="8"/>
        <v>3533137.0300000003</v>
      </c>
      <c r="H59" s="50" t="e">
        <f t="shared" si="4"/>
        <v>#DIV/0!</v>
      </c>
      <c r="I59" s="26">
        <v>0</v>
      </c>
      <c r="J59" s="22"/>
    </row>
    <row r="60" spans="2:10" hidden="1" x14ac:dyDescent="0.3">
      <c r="B60" s="11">
        <v>18</v>
      </c>
      <c r="C60" s="17" t="s">
        <v>30</v>
      </c>
      <c r="D60" s="24"/>
      <c r="E60" s="24"/>
      <c r="F60" s="25">
        <f t="shared" si="6"/>
        <v>0</v>
      </c>
      <c r="G60" s="24">
        <f t="shared" si="8"/>
        <v>3533137.0300000003</v>
      </c>
      <c r="H60" s="50" t="e">
        <f t="shared" si="4"/>
        <v>#DIV/0!</v>
      </c>
      <c r="I60" s="26">
        <v>0</v>
      </c>
      <c r="J60" s="22"/>
    </row>
    <row r="61" spans="2:10" hidden="1" x14ac:dyDescent="0.3">
      <c r="B61" s="11">
        <v>19</v>
      </c>
      <c r="C61" s="17" t="s">
        <v>31</v>
      </c>
      <c r="D61" s="24"/>
      <c r="E61" s="24"/>
      <c r="F61" s="25">
        <f t="shared" si="6"/>
        <v>0</v>
      </c>
      <c r="G61" s="24">
        <f t="shared" si="8"/>
        <v>3533137.0300000003</v>
      </c>
      <c r="H61" s="50" t="e">
        <f t="shared" si="4"/>
        <v>#DIV/0!</v>
      </c>
      <c r="I61" s="26">
        <v>0</v>
      </c>
      <c r="J61" s="22"/>
    </row>
    <row r="62" spans="2:10" hidden="1" x14ac:dyDescent="0.3">
      <c r="B62" s="11">
        <v>20</v>
      </c>
      <c r="C62" s="17" t="s">
        <v>32</v>
      </c>
      <c r="D62" s="24"/>
      <c r="E62" s="24"/>
      <c r="F62" s="25">
        <f t="shared" si="6"/>
        <v>0</v>
      </c>
      <c r="G62" s="24">
        <f t="shared" si="8"/>
        <v>3533137.0300000003</v>
      </c>
      <c r="H62" s="50" t="e">
        <f t="shared" si="4"/>
        <v>#DIV/0!</v>
      </c>
      <c r="I62" s="26">
        <v>0</v>
      </c>
      <c r="J62" s="22"/>
    </row>
    <row r="63" spans="2:10" hidden="1" x14ac:dyDescent="0.3">
      <c r="B63" s="11">
        <v>21</v>
      </c>
      <c r="C63" s="17" t="s">
        <v>33</v>
      </c>
      <c r="D63" s="24"/>
      <c r="E63" s="24"/>
      <c r="F63" s="25">
        <f t="shared" si="6"/>
        <v>0</v>
      </c>
      <c r="G63" s="24">
        <f t="shared" si="8"/>
        <v>3533137.0300000003</v>
      </c>
      <c r="H63" s="50" t="e">
        <f t="shared" si="4"/>
        <v>#DIV/0!</v>
      </c>
      <c r="I63" s="26">
        <v>0</v>
      </c>
      <c r="J63" s="22"/>
    </row>
    <row r="64" spans="2:10" hidden="1" x14ac:dyDescent="0.3">
      <c r="B64" s="11">
        <v>22</v>
      </c>
      <c r="C64" s="17" t="s">
        <v>34</v>
      </c>
      <c r="D64" s="24"/>
      <c r="E64" s="24"/>
      <c r="F64" s="25">
        <f t="shared" si="6"/>
        <v>0</v>
      </c>
      <c r="G64" s="24">
        <f t="shared" si="8"/>
        <v>3533137.0300000003</v>
      </c>
      <c r="H64" s="50" t="e">
        <f t="shared" si="4"/>
        <v>#DIV/0!</v>
      </c>
      <c r="I64" s="26">
        <v>0</v>
      </c>
      <c r="J64" s="22"/>
    </row>
    <row r="65" spans="2:10" hidden="1" x14ac:dyDescent="0.3">
      <c r="B65" s="11">
        <v>23</v>
      </c>
      <c r="C65" s="17" t="s">
        <v>35</v>
      </c>
      <c r="D65" s="24"/>
      <c r="E65" s="24"/>
      <c r="F65" s="25">
        <f t="shared" si="6"/>
        <v>0</v>
      </c>
      <c r="G65" s="24">
        <f t="shared" si="8"/>
        <v>3533137.0300000003</v>
      </c>
      <c r="H65" s="50" t="e">
        <f t="shared" si="4"/>
        <v>#DIV/0!</v>
      </c>
      <c r="I65" s="26">
        <v>0</v>
      </c>
      <c r="J65" s="22"/>
    </row>
    <row r="66" spans="2:10" hidden="1" x14ac:dyDescent="0.3">
      <c r="B66" s="11">
        <v>24</v>
      </c>
      <c r="C66" s="17" t="s">
        <v>36</v>
      </c>
      <c r="D66" s="24"/>
      <c r="E66" s="24"/>
      <c r="F66" s="25">
        <f t="shared" si="6"/>
        <v>0</v>
      </c>
      <c r="G66" s="24">
        <f t="shared" si="8"/>
        <v>3533137.0300000003</v>
      </c>
      <c r="H66" s="50" t="e">
        <f t="shared" si="4"/>
        <v>#DIV/0!</v>
      </c>
      <c r="I66" s="26">
        <v>0</v>
      </c>
      <c r="J66" s="22"/>
    </row>
    <row r="67" spans="2:10" hidden="1" x14ac:dyDescent="0.3">
      <c r="B67" s="11">
        <v>25</v>
      </c>
      <c r="C67" s="18" t="s">
        <v>37</v>
      </c>
      <c r="D67" s="24"/>
      <c r="E67" s="24"/>
      <c r="F67" s="25">
        <f t="shared" si="6"/>
        <v>0</v>
      </c>
      <c r="G67" s="24">
        <f t="shared" si="8"/>
        <v>3533137.0300000003</v>
      </c>
      <c r="H67" s="50" t="e">
        <f t="shared" si="4"/>
        <v>#DIV/0!</v>
      </c>
      <c r="I67" s="26">
        <v>0</v>
      </c>
      <c r="J67" s="22"/>
    </row>
    <row r="68" spans="2:10" hidden="1" x14ac:dyDescent="0.3">
      <c r="B68" s="28">
        <v>26</v>
      </c>
      <c r="C68" s="29" t="s">
        <v>38</v>
      </c>
      <c r="D68" s="30"/>
      <c r="E68" s="30"/>
      <c r="F68" s="31">
        <f t="shared" si="6"/>
        <v>0</v>
      </c>
      <c r="G68" s="30">
        <f t="shared" si="8"/>
        <v>3533137.0300000003</v>
      </c>
      <c r="H68" s="50" t="e">
        <f t="shared" si="4"/>
        <v>#DIV/0!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39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40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41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42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69" t="s">
        <v>45</v>
      </c>
      <c r="E76" s="169"/>
      <c r="F76" s="169"/>
      <c r="G76" s="169"/>
      <c r="H76" s="169"/>
      <c r="I76" s="169"/>
      <c r="J76" s="10"/>
    </row>
    <row r="77" spans="2:10" s="37" customFormat="1" ht="15.6" x14ac:dyDescent="0.3">
      <c r="B77" s="27"/>
      <c r="C77" s="27"/>
      <c r="D77" s="170" t="s">
        <v>50</v>
      </c>
      <c r="E77" s="170"/>
      <c r="F77" s="170"/>
      <c r="G77" s="170"/>
      <c r="H77" s="170"/>
      <c r="I77" s="170"/>
      <c r="J77" s="27"/>
    </row>
    <row r="78" spans="2:10" ht="15.9" customHeight="1" x14ac:dyDescent="0.3">
      <c r="B78" s="128" t="s">
        <v>84</v>
      </c>
      <c r="C78" s="128"/>
      <c r="D78" s="128"/>
      <c r="E78" s="128"/>
      <c r="F78" s="128"/>
      <c r="G78" s="128"/>
      <c r="H78" s="128"/>
      <c r="I78" s="128"/>
      <c r="J78" s="128"/>
    </row>
    <row r="79" spans="2:10" ht="14.4" customHeight="1" x14ac:dyDescent="0.3">
      <c r="B79" s="15"/>
      <c r="C79" s="16"/>
      <c r="D79" s="152" t="s">
        <v>6</v>
      </c>
      <c r="E79" s="153"/>
      <c r="F79" s="153"/>
      <c r="G79" s="154"/>
      <c r="H79" s="155" t="s">
        <v>7</v>
      </c>
      <c r="I79" s="156"/>
      <c r="J79" s="4"/>
    </row>
    <row r="80" spans="2:10" x14ac:dyDescent="0.3">
      <c r="B80" s="13"/>
      <c r="C80" s="14"/>
      <c r="D80" s="159" t="s">
        <v>9</v>
      </c>
      <c r="E80" s="160"/>
      <c r="F80" s="160"/>
      <c r="G80" s="161"/>
      <c r="H80" s="157"/>
      <c r="I80" s="158"/>
      <c r="J80" s="4"/>
    </row>
    <row r="81" spans="2:10" ht="14.4" customHeight="1" x14ac:dyDescent="0.3">
      <c r="B81" s="132" t="s">
        <v>10</v>
      </c>
      <c r="C81" s="134" t="s">
        <v>11</v>
      </c>
      <c r="D81" s="19" t="s">
        <v>12</v>
      </c>
      <c r="E81" s="19" t="s">
        <v>13</v>
      </c>
      <c r="F81" s="19" t="s">
        <v>14</v>
      </c>
      <c r="G81" s="19" t="s">
        <v>15</v>
      </c>
      <c r="H81" s="162" t="s">
        <v>16</v>
      </c>
      <c r="I81" s="134" t="s">
        <v>17</v>
      </c>
      <c r="J81" s="20"/>
    </row>
    <row r="82" spans="2:10" ht="40.35" customHeight="1" x14ac:dyDescent="0.3">
      <c r="B82" s="133"/>
      <c r="C82" s="135"/>
      <c r="D82" s="164" t="s">
        <v>20</v>
      </c>
      <c r="E82" s="165"/>
      <c r="F82" s="165"/>
      <c r="G82" s="166"/>
      <c r="H82" s="163"/>
      <c r="I82" s="135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e">
        <f>((G83-I83)/I83)*100</f>
        <v>#DIV/0!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0</v>
      </c>
      <c r="E84" s="26">
        <v>0</v>
      </c>
      <c r="F84" s="49">
        <f>+E84+D84</f>
        <v>0</v>
      </c>
      <c r="G84" s="26">
        <f>+G83+F84</f>
        <v>0</v>
      </c>
      <c r="H84" s="50" t="e">
        <f t="shared" ref="H84:H93" si="9">((G84-I84)/I84)*100</f>
        <v>#DIV/0!</v>
      </c>
      <c r="I84" s="26">
        <v>0</v>
      </c>
      <c r="J84" s="22"/>
    </row>
    <row r="85" spans="2:10" x14ac:dyDescent="0.3">
      <c r="B85" s="42">
        <v>6</v>
      </c>
      <c r="C85" s="40" t="s">
        <v>23</v>
      </c>
      <c r="D85" s="26">
        <v>0</v>
      </c>
      <c r="E85" s="26">
        <v>0</v>
      </c>
      <c r="F85" s="49">
        <f>+E85+D85</f>
        <v>0</v>
      </c>
      <c r="G85" s="26">
        <f t="shared" ref="G85" si="10">+G84+F85</f>
        <v>0</v>
      </c>
      <c r="H85" s="50" t="e">
        <f t="shared" si="9"/>
        <v>#DIV/0!</v>
      </c>
      <c r="I85" s="26">
        <v>0</v>
      </c>
      <c r="J85" s="22"/>
    </row>
    <row r="86" spans="2:10" x14ac:dyDescent="0.3">
      <c r="B86" s="42">
        <v>7</v>
      </c>
      <c r="C86" s="40" t="s">
        <v>24</v>
      </c>
      <c r="D86" s="26">
        <v>3184.5</v>
      </c>
      <c r="E86" s="26">
        <v>0</v>
      </c>
      <c r="F86" s="49">
        <f t="shared" ref="F86:F105" si="11">+E86+D86</f>
        <v>3184.5</v>
      </c>
      <c r="G86" s="26">
        <f>+G85+F86</f>
        <v>3184.5</v>
      </c>
      <c r="H86" s="50" t="e">
        <f t="shared" si="9"/>
        <v>#DIV/0!</v>
      </c>
      <c r="I86" s="26">
        <v>0</v>
      </c>
      <c r="J86" s="22"/>
    </row>
    <row r="87" spans="2:10" x14ac:dyDescent="0.3">
      <c r="B87" s="42">
        <v>8</v>
      </c>
      <c r="C87" s="40" t="s">
        <v>25</v>
      </c>
      <c r="D87" s="26">
        <v>0</v>
      </c>
      <c r="E87" s="26">
        <v>0</v>
      </c>
      <c r="F87" s="49">
        <f t="shared" si="11"/>
        <v>0</v>
      </c>
      <c r="G87" s="26">
        <f t="shared" ref="G87:G93" si="12">+G86+F87</f>
        <v>3184.5</v>
      </c>
      <c r="H87" s="50" t="e">
        <f t="shared" si="9"/>
        <v>#DIV/0!</v>
      </c>
      <c r="I87" s="26">
        <v>0</v>
      </c>
      <c r="J87" s="22"/>
    </row>
    <row r="88" spans="2:10" x14ac:dyDescent="0.3">
      <c r="B88" s="42">
        <v>9</v>
      </c>
      <c r="C88" s="40" t="s">
        <v>26</v>
      </c>
      <c r="D88" s="26">
        <v>0</v>
      </c>
      <c r="E88" s="26">
        <v>0</v>
      </c>
      <c r="F88" s="49">
        <f t="shared" si="11"/>
        <v>0</v>
      </c>
      <c r="G88" s="26">
        <f t="shared" si="12"/>
        <v>3184.5</v>
      </c>
      <c r="H88" s="50" t="e">
        <f t="shared" si="9"/>
        <v>#DIV/0!</v>
      </c>
      <c r="I88" s="26">
        <v>0</v>
      </c>
      <c r="J88" s="22"/>
    </row>
    <row r="89" spans="2:10" x14ac:dyDescent="0.3">
      <c r="B89" s="42">
        <v>10</v>
      </c>
      <c r="C89" s="40" t="s">
        <v>67</v>
      </c>
      <c r="D89" s="26">
        <v>0</v>
      </c>
      <c r="E89" s="26">
        <v>0</v>
      </c>
      <c r="F89" s="49">
        <f t="shared" si="11"/>
        <v>0</v>
      </c>
      <c r="G89" s="26">
        <f t="shared" si="12"/>
        <v>3184.5</v>
      </c>
      <c r="H89" s="50" t="e">
        <f t="shared" si="9"/>
        <v>#DIV/0!</v>
      </c>
      <c r="I89" s="26">
        <v>0</v>
      </c>
      <c r="J89" s="22"/>
    </row>
    <row r="90" spans="2:10" x14ac:dyDescent="0.3">
      <c r="B90" s="42">
        <v>11</v>
      </c>
      <c r="C90" s="40" t="s">
        <v>68</v>
      </c>
      <c r="D90" s="26">
        <v>0</v>
      </c>
      <c r="E90" s="26">
        <v>0</v>
      </c>
      <c r="F90" s="49">
        <f t="shared" si="11"/>
        <v>0</v>
      </c>
      <c r="G90" s="26">
        <f t="shared" si="12"/>
        <v>3184.5</v>
      </c>
      <c r="H90" s="50" t="e">
        <f t="shared" si="9"/>
        <v>#DIV/0!</v>
      </c>
      <c r="I90" s="26">
        <v>0</v>
      </c>
      <c r="J90" s="22"/>
    </row>
    <row r="91" spans="2:10" x14ac:dyDescent="0.3">
      <c r="B91" s="42">
        <v>12</v>
      </c>
      <c r="C91" s="40" t="s">
        <v>83</v>
      </c>
      <c r="D91" s="26">
        <v>0</v>
      </c>
      <c r="E91" s="26">
        <v>0</v>
      </c>
      <c r="F91" s="49">
        <f t="shared" si="11"/>
        <v>0</v>
      </c>
      <c r="G91" s="26">
        <f t="shared" si="12"/>
        <v>3184.5</v>
      </c>
      <c r="H91" s="50" t="e">
        <f t="shared" si="9"/>
        <v>#DIV/0!</v>
      </c>
      <c r="I91" s="26">
        <v>0</v>
      </c>
      <c r="J91" s="22"/>
    </row>
    <row r="92" spans="2:10" x14ac:dyDescent="0.3">
      <c r="B92" s="42">
        <v>13</v>
      </c>
      <c r="C92" s="40" t="s">
        <v>69</v>
      </c>
      <c r="D92" s="26">
        <v>0</v>
      </c>
      <c r="E92" s="26">
        <v>0</v>
      </c>
      <c r="F92" s="49">
        <f t="shared" si="11"/>
        <v>0</v>
      </c>
      <c r="G92" s="26">
        <f t="shared" si="12"/>
        <v>3184.5</v>
      </c>
      <c r="H92" s="50" t="e">
        <f t="shared" si="9"/>
        <v>#DIV/0!</v>
      </c>
      <c r="I92" s="26">
        <v>0</v>
      </c>
      <c r="J92" s="22"/>
    </row>
    <row r="93" spans="2:10" x14ac:dyDescent="0.3">
      <c r="B93" s="42">
        <v>14</v>
      </c>
      <c r="C93" s="86" t="s">
        <v>70</v>
      </c>
      <c r="D93" s="26">
        <v>0</v>
      </c>
      <c r="E93" s="26">
        <v>0</v>
      </c>
      <c r="F93" s="49">
        <f t="shared" si="11"/>
        <v>0</v>
      </c>
      <c r="G93" s="26">
        <f t="shared" si="12"/>
        <v>3184.5</v>
      </c>
      <c r="H93" s="50" t="e">
        <f t="shared" si="9"/>
        <v>#DIV/0!</v>
      </c>
      <c r="I93" s="26">
        <v>0</v>
      </c>
      <c r="J93" s="22"/>
    </row>
    <row r="94" spans="2:10" hidden="1" x14ac:dyDescent="0.3">
      <c r="B94" s="11">
        <v>15</v>
      </c>
      <c r="C94" s="17" t="s">
        <v>27</v>
      </c>
      <c r="D94" s="24"/>
      <c r="E94" s="24"/>
      <c r="F94" s="25">
        <f t="shared" si="11"/>
        <v>0</v>
      </c>
      <c r="G94" s="24">
        <f t="shared" ref="G94:G105" si="13">+G93+F94</f>
        <v>3184.5</v>
      </c>
      <c r="H94" s="12">
        <v>0</v>
      </c>
      <c r="I94" s="26">
        <v>0</v>
      </c>
      <c r="J94" s="22"/>
    </row>
    <row r="95" spans="2:10" hidden="1" x14ac:dyDescent="0.3">
      <c r="B95" s="11">
        <v>16</v>
      </c>
      <c r="C95" s="17" t="s">
        <v>28</v>
      </c>
      <c r="D95" s="24"/>
      <c r="E95" s="24"/>
      <c r="F95" s="25">
        <f t="shared" si="11"/>
        <v>0</v>
      </c>
      <c r="G95" s="24">
        <f t="shared" si="13"/>
        <v>3184.5</v>
      </c>
      <c r="H95" s="12">
        <v>0</v>
      </c>
      <c r="I95" s="26">
        <v>0</v>
      </c>
      <c r="J95" s="22"/>
    </row>
    <row r="96" spans="2:10" hidden="1" x14ac:dyDescent="0.3">
      <c r="B96" s="11">
        <v>17</v>
      </c>
      <c r="C96" s="17" t="s">
        <v>29</v>
      </c>
      <c r="D96" s="24"/>
      <c r="E96" s="24"/>
      <c r="F96" s="25">
        <f t="shared" si="11"/>
        <v>0</v>
      </c>
      <c r="G96" s="24">
        <f t="shared" si="13"/>
        <v>3184.5</v>
      </c>
      <c r="H96" s="12">
        <v>0</v>
      </c>
      <c r="I96" s="26">
        <v>0</v>
      </c>
      <c r="J96" s="22"/>
    </row>
    <row r="97" spans="2:10" hidden="1" x14ac:dyDescent="0.3">
      <c r="B97" s="11">
        <v>18</v>
      </c>
      <c r="C97" s="17" t="s">
        <v>30</v>
      </c>
      <c r="D97" s="24"/>
      <c r="E97" s="24"/>
      <c r="F97" s="25">
        <f t="shared" si="11"/>
        <v>0</v>
      </c>
      <c r="G97" s="24">
        <f t="shared" si="13"/>
        <v>3184.5</v>
      </c>
      <c r="H97" s="12">
        <v>0</v>
      </c>
      <c r="I97" s="26">
        <v>0</v>
      </c>
      <c r="J97" s="22"/>
    </row>
    <row r="98" spans="2:10" hidden="1" x14ac:dyDescent="0.3">
      <c r="B98" s="11">
        <v>19</v>
      </c>
      <c r="C98" s="17" t="s">
        <v>31</v>
      </c>
      <c r="D98" s="24"/>
      <c r="E98" s="24"/>
      <c r="F98" s="25">
        <f t="shared" si="11"/>
        <v>0</v>
      </c>
      <c r="G98" s="24">
        <f t="shared" si="13"/>
        <v>3184.5</v>
      </c>
      <c r="H98" s="12">
        <v>0</v>
      </c>
      <c r="I98" s="26">
        <v>0</v>
      </c>
      <c r="J98" s="22"/>
    </row>
    <row r="99" spans="2:10" hidden="1" x14ac:dyDescent="0.3">
      <c r="B99" s="11">
        <v>20</v>
      </c>
      <c r="C99" s="17" t="s">
        <v>32</v>
      </c>
      <c r="D99" s="24"/>
      <c r="E99" s="24"/>
      <c r="F99" s="25">
        <f t="shared" si="11"/>
        <v>0</v>
      </c>
      <c r="G99" s="24">
        <f t="shared" si="13"/>
        <v>3184.5</v>
      </c>
      <c r="H99" s="12">
        <v>0</v>
      </c>
      <c r="I99" s="26">
        <v>0</v>
      </c>
      <c r="J99" s="22"/>
    </row>
    <row r="100" spans="2:10" hidden="1" x14ac:dyDescent="0.3">
      <c r="B100" s="11">
        <v>21</v>
      </c>
      <c r="C100" s="17" t="s">
        <v>33</v>
      </c>
      <c r="D100" s="24"/>
      <c r="E100" s="24"/>
      <c r="F100" s="25">
        <f t="shared" si="11"/>
        <v>0</v>
      </c>
      <c r="G100" s="24">
        <f t="shared" si="13"/>
        <v>3184.5</v>
      </c>
      <c r="H100" s="12">
        <v>0</v>
      </c>
      <c r="I100" s="26">
        <v>0</v>
      </c>
      <c r="J100" s="22"/>
    </row>
    <row r="101" spans="2:10" hidden="1" x14ac:dyDescent="0.3">
      <c r="B101" s="11">
        <v>22</v>
      </c>
      <c r="C101" s="17" t="s">
        <v>34</v>
      </c>
      <c r="D101" s="24"/>
      <c r="E101" s="24"/>
      <c r="F101" s="25">
        <f t="shared" si="11"/>
        <v>0</v>
      </c>
      <c r="G101" s="24">
        <f t="shared" si="13"/>
        <v>3184.5</v>
      </c>
      <c r="H101" s="12">
        <v>0</v>
      </c>
      <c r="I101" s="26">
        <v>0</v>
      </c>
      <c r="J101" s="22"/>
    </row>
    <row r="102" spans="2:10" hidden="1" x14ac:dyDescent="0.3">
      <c r="B102" s="11">
        <v>23</v>
      </c>
      <c r="C102" s="17" t="s">
        <v>35</v>
      </c>
      <c r="D102" s="24"/>
      <c r="E102" s="24"/>
      <c r="F102" s="25">
        <f t="shared" si="11"/>
        <v>0</v>
      </c>
      <c r="G102" s="24">
        <f t="shared" si="13"/>
        <v>3184.5</v>
      </c>
      <c r="H102" s="12">
        <v>0</v>
      </c>
      <c r="I102" s="26">
        <v>0</v>
      </c>
      <c r="J102" s="22"/>
    </row>
    <row r="103" spans="2:10" hidden="1" x14ac:dyDescent="0.3">
      <c r="B103" s="11">
        <v>24</v>
      </c>
      <c r="C103" s="17" t="s">
        <v>36</v>
      </c>
      <c r="D103" s="24"/>
      <c r="E103" s="24"/>
      <c r="F103" s="25">
        <f t="shared" si="11"/>
        <v>0</v>
      </c>
      <c r="G103" s="24">
        <f t="shared" si="13"/>
        <v>3184.5</v>
      </c>
      <c r="H103" s="12">
        <v>0</v>
      </c>
      <c r="I103" s="26">
        <v>0</v>
      </c>
      <c r="J103" s="22"/>
    </row>
    <row r="104" spans="2:10" hidden="1" x14ac:dyDescent="0.3">
      <c r="B104" s="11">
        <v>25</v>
      </c>
      <c r="C104" s="18" t="s">
        <v>37</v>
      </c>
      <c r="D104" s="24"/>
      <c r="E104" s="24"/>
      <c r="F104" s="25">
        <f t="shared" si="11"/>
        <v>0</v>
      </c>
      <c r="G104" s="24">
        <f t="shared" si="13"/>
        <v>3184.5</v>
      </c>
      <c r="H104" s="12">
        <v>0</v>
      </c>
      <c r="I104" s="26">
        <v>0</v>
      </c>
      <c r="J104" s="22"/>
    </row>
    <row r="105" spans="2:10" hidden="1" x14ac:dyDescent="0.3">
      <c r="B105" s="28">
        <v>26</v>
      </c>
      <c r="C105" s="29" t="s">
        <v>38</v>
      </c>
      <c r="D105" s="30"/>
      <c r="E105" s="30"/>
      <c r="F105" s="31">
        <f t="shared" si="11"/>
        <v>0</v>
      </c>
      <c r="G105" s="30">
        <f t="shared" si="13"/>
        <v>3184.5</v>
      </c>
      <c r="H105" s="32">
        <v>0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39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40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41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42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171" t="s">
        <v>46</v>
      </c>
      <c r="E113" s="171"/>
      <c r="F113" s="171"/>
      <c r="G113" s="171"/>
      <c r="H113" s="171"/>
      <c r="I113" s="171"/>
      <c r="J113" s="10"/>
    </row>
    <row r="114" spans="2:10" s="37" customFormat="1" ht="15.6" x14ac:dyDescent="0.3">
      <c r="B114" s="27"/>
      <c r="C114" s="27"/>
      <c r="D114" s="172" t="s">
        <v>50</v>
      </c>
      <c r="E114" s="172"/>
      <c r="F114" s="172"/>
      <c r="G114" s="172"/>
      <c r="H114" s="172"/>
      <c r="I114" s="172"/>
      <c r="J114" s="27"/>
    </row>
    <row r="115" spans="2:10" ht="15.9" customHeight="1" x14ac:dyDescent="0.3">
      <c r="B115" s="128" t="s">
        <v>84</v>
      </c>
      <c r="C115" s="128"/>
      <c r="D115" s="128"/>
      <c r="E115" s="128"/>
      <c r="F115" s="128"/>
      <c r="G115" s="128"/>
      <c r="H115" s="128"/>
      <c r="I115" s="128"/>
      <c r="J115" s="128"/>
    </row>
    <row r="116" spans="2:10" ht="14.4" customHeight="1" x14ac:dyDescent="0.3">
      <c r="B116" s="15"/>
      <c r="C116" s="16"/>
      <c r="D116" s="152" t="s">
        <v>6</v>
      </c>
      <c r="E116" s="153"/>
      <c r="F116" s="153"/>
      <c r="G116" s="154"/>
      <c r="H116" s="155" t="s">
        <v>7</v>
      </c>
      <c r="I116" s="156"/>
      <c r="J116" s="4"/>
    </row>
    <row r="117" spans="2:10" x14ac:dyDescent="0.3">
      <c r="B117" s="13"/>
      <c r="C117" s="14"/>
      <c r="D117" s="159" t="s">
        <v>9</v>
      </c>
      <c r="E117" s="160"/>
      <c r="F117" s="160"/>
      <c r="G117" s="161"/>
      <c r="H117" s="157"/>
      <c r="I117" s="158"/>
      <c r="J117" s="4"/>
    </row>
    <row r="118" spans="2:10" ht="14.4" customHeight="1" x14ac:dyDescent="0.3">
      <c r="B118" s="132" t="s">
        <v>10</v>
      </c>
      <c r="C118" s="134" t="s">
        <v>11</v>
      </c>
      <c r="D118" s="19" t="s">
        <v>12</v>
      </c>
      <c r="E118" s="19" t="s">
        <v>13</v>
      </c>
      <c r="F118" s="19" t="s">
        <v>14</v>
      </c>
      <c r="G118" s="19" t="s">
        <v>15</v>
      </c>
      <c r="H118" s="162" t="s">
        <v>16</v>
      </c>
      <c r="I118" s="134" t="s">
        <v>17</v>
      </c>
      <c r="J118" s="20"/>
    </row>
    <row r="119" spans="2:10" ht="37.65" customHeight="1" x14ac:dyDescent="0.3">
      <c r="B119" s="133"/>
      <c r="C119" s="135"/>
      <c r="D119" s="164" t="s">
        <v>20</v>
      </c>
      <c r="E119" s="165"/>
      <c r="F119" s="165"/>
      <c r="G119" s="166"/>
      <c r="H119" s="163"/>
      <c r="I119" s="135"/>
      <c r="J119" s="20"/>
    </row>
    <row r="120" spans="2:10" x14ac:dyDescent="0.3">
      <c r="B120" s="42">
        <v>4</v>
      </c>
      <c r="C120" s="40" t="s">
        <v>21</v>
      </c>
      <c r="D120" s="21">
        <v>10543</v>
      </c>
      <c r="E120" s="21">
        <v>0</v>
      </c>
      <c r="F120" s="45">
        <f>+D120+E120</f>
        <v>10543</v>
      </c>
      <c r="G120" s="21">
        <f>+F120</f>
        <v>10543</v>
      </c>
      <c r="H120" s="46" t="e">
        <f t="shared" ref="H120:H130" si="14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11068.5</v>
      </c>
      <c r="E121" s="26">
        <v>0</v>
      </c>
      <c r="F121" s="49">
        <f>+E121+D121</f>
        <v>11068.5</v>
      </c>
      <c r="G121" s="26">
        <f>+G120+F121</f>
        <v>21611.5</v>
      </c>
      <c r="H121" s="50">
        <f t="shared" si="14"/>
        <v>266.85622135460869</v>
      </c>
      <c r="I121" s="26">
        <v>5891</v>
      </c>
      <c r="J121" s="22"/>
    </row>
    <row r="122" spans="2:10" x14ac:dyDescent="0.3">
      <c r="B122" s="42">
        <v>6</v>
      </c>
      <c r="C122" s="40" t="s">
        <v>23</v>
      </c>
      <c r="D122" s="26">
        <v>0</v>
      </c>
      <c r="E122" s="26">
        <v>0</v>
      </c>
      <c r="F122" s="49">
        <f>+E122+D122</f>
        <v>0</v>
      </c>
      <c r="G122" s="26">
        <f t="shared" ref="G122" si="15">+G121+F122</f>
        <v>21611.5</v>
      </c>
      <c r="H122" s="50">
        <f t="shared" si="14"/>
        <v>266.85622135460869</v>
      </c>
      <c r="I122" s="26">
        <f>+I121+0</f>
        <v>5891</v>
      </c>
      <c r="J122" s="22"/>
    </row>
    <row r="123" spans="2:10" x14ac:dyDescent="0.3">
      <c r="B123" s="42">
        <v>7</v>
      </c>
      <c r="C123" s="40" t="s">
        <v>24</v>
      </c>
      <c r="D123" s="26">
        <v>3123.5</v>
      </c>
      <c r="E123" s="26">
        <v>0</v>
      </c>
      <c r="F123" s="49">
        <f t="shared" ref="F123:F142" si="16">+E123+D123</f>
        <v>3123.5</v>
      </c>
      <c r="G123" s="26">
        <f>+G122+F123</f>
        <v>24735</v>
      </c>
      <c r="H123" s="50">
        <f t="shared" si="14"/>
        <v>319.8777796638941</v>
      </c>
      <c r="I123" s="26">
        <f>+I122+0</f>
        <v>5891</v>
      </c>
      <c r="J123" s="22"/>
    </row>
    <row r="124" spans="2:10" x14ac:dyDescent="0.3">
      <c r="B124" s="42">
        <v>8</v>
      </c>
      <c r="C124" s="40" t="s">
        <v>25</v>
      </c>
      <c r="D124" s="26">
        <v>0</v>
      </c>
      <c r="E124" s="26">
        <v>0</v>
      </c>
      <c r="F124" s="49">
        <f t="shared" si="16"/>
        <v>0</v>
      </c>
      <c r="G124" s="26">
        <f t="shared" ref="G124:G130" si="17">+G123+F124</f>
        <v>24735</v>
      </c>
      <c r="H124" s="50">
        <f t="shared" si="14"/>
        <v>319.8777796638941</v>
      </c>
      <c r="I124" s="26">
        <v>5891</v>
      </c>
      <c r="J124" s="22"/>
    </row>
    <row r="125" spans="2:10" x14ac:dyDescent="0.3">
      <c r="B125" s="42">
        <v>9</v>
      </c>
      <c r="C125" s="40" t="s">
        <v>26</v>
      </c>
      <c r="D125" s="26">
        <v>0</v>
      </c>
      <c r="E125" s="26">
        <v>0</v>
      </c>
      <c r="F125" s="49">
        <f t="shared" si="16"/>
        <v>0</v>
      </c>
      <c r="G125" s="26">
        <f t="shared" si="17"/>
        <v>24735</v>
      </c>
      <c r="H125" s="50">
        <f t="shared" si="14"/>
        <v>319.8777796638941</v>
      </c>
      <c r="I125" s="26">
        <f>+I124</f>
        <v>5891</v>
      </c>
      <c r="J125" s="22"/>
    </row>
    <row r="126" spans="2:10" x14ac:dyDescent="0.3">
      <c r="B126" s="42">
        <v>10</v>
      </c>
      <c r="C126" s="40" t="s">
        <v>67</v>
      </c>
      <c r="D126" s="26">
        <v>0</v>
      </c>
      <c r="E126" s="26">
        <v>0</v>
      </c>
      <c r="F126" s="49">
        <f t="shared" si="16"/>
        <v>0</v>
      </c>
      <c r="G126" s="26">
        <f t="shared" si="17"/>
        <v>24735</v>
      </c>
      <c r="H126" s="50">
        <f t="shared" si="14"/>
        <v>319.8777796638941</v>
      </c>
      <c r="I126" s="26">
        <f>+I125</f>
        <v>5891</v>
      </c>
      <c r="J126" s="22"/>
    </row>
    <row r="127" spans="2:10" x14ac:dyDescent="0.3">
      <c r="B127" s="42">
        <v>11</v>
      </c>
      <c r="C127" s="40" t="s">
        <v>68</v>
      </c>
      <c r="D127" s="26">
        <v>0</v>
      </c>
      <c r="E127" s="26">
        <v>0</v>
      </c>
      <c r="F127" s="49">
        <f t="shared" si="16"/>
        <v>0</v>
      </c>
      <c r="G127" s="26">
        <f t="shared" si="17"/>
        <v>24735</v>
      </c>
      <c r="H127" s="50">
        <f t="shared" si="14"/>
        <v>319.8777796638941</v>
      </c>
      <c r="I127" s="26">
        <f>+I126</f>
        <v>5891</v>
      </c>
      <c r="J127" s="22"/>
    </row>
    <row r="128" spans="2:10" x14ac:dyDescent="0.3">
      <c r="B128" s="42">
        <v>12</v>
      </c>
      <c r="C128" s="40" t="s">
        <v>83</v>
      </c>
      <c r="D128" s="26">
        <v>0</v>
      </c>
      <c r="E128" s="26">
        <v>0</v>
      </c>
      <c r="F128" s="49">
        <f t="shared" si="16"/>
        <v>0</v>
      </c>
      <c r="G128" s="26">
        <f t="shared" si="17"/>
        <v>24735</v>
      </c>
      <c r="H128" s="50">
        <f t="shared" si="14"/>
        <v>319.8777796638941</v>
      </c>
      <c r="I128" s="26">
        <f>+I127+0</f>
        <v>5891</v>
      </c>
      <c r="J128" s="22"/>
    </row>
    <row r="129" spans="2:10" x14ac:dyDescent="0.3">
      <c r="B129" s="42">
        <v>13</v>
      </c>
      <c r="C129" s="40" t="s">
        <v>69</v>
      </c>
      <c r="D129" s="26">
        <v>0</v>
      </c>
      <c r="E129" s="26">
        <v>0</v>
      </c>
      <c r="F129" s="49">
        <f t="shared" si="16"/>
        <v>0</v>
      </c>
      <c r="G129" s="26">
        <f t="shared" si="17"/>
        <v>24735</v>
      </c>
      <c r="H129" s="50">
        <f t="shared" si="14"/>
        <v>319.8777796638941</v>
      </c>
      <c r="I129" s="26">
        <v>5891</v>
      </c>
      <c r="J129" s="22"/>
    </row>
    <row r="130" spans="2:10" x14ac:dyDescent="0.3">
      <c r="B130" s="42">
        <v>14</v>
      </c>
      <c r="C130" s="86" t="s">
        <v>70</v>
      </c>
      <c r="D130" s="26">
        <v>0</v>
      </c>
      <c r="E130" s="26">
        <v>0</v>
      </c>
      <c r="F130" s="49">
        <f t="shared" si="16"/>
        <v>0</v>
      </c>
      <c r="G130" s="26">
        <f t="shared" si="17"/>
        <v>24735</v>
      </c>
      <c r="H130" s="50">
        <f t="shared" si="14"/>
        <v>319.8777796638941</v>
      </c>
      <c r="I130" s="26">
        <f>+I129+0</f>
        <v>5891</v>
      </c>
      <c r="J130" s="22"/>
    </row>
    <row r="131" spans="2:10" hidden="1" x14ac:dyDescent="0.3">
      <c r="B131" s="11">
        <v>15</v>
      </c>
      <c r="C131" s="17" t="s">
        <v>27</v>
      </c>
      <c r="D131" s="24"/>
      <c r="E131" s="24"/>
      <c r="F131" s="25">
        <f t="shared" si="16"/>
        <v>0</v>
      </c>
      <c r="G131" s="24">
        <f t="shared" ref="G131:G142" si="18">+G130+F131</f>
        <v>24735</v>
      </c>
      <c r="H131" s="12">
        <v>0</v>
      </c>
      <c r="I131" s="26">
        <v>0</v>
      </c>
      <c r="J131" s="22"/>
    </row>
    <row r="132" spans="2:10" hidden="1" x14ac:dyDescent="0.3">
      <c r="B132" s="11">
        <v>16</v>
      </c>
      <c r="C132" s="17" t="s">
        <v>28</v>
      </c>
      <c r="D132" s="24"/>
      <c r="E132" s="24"/>
      <c r="F132" s="25">
        <f t="shared" si="16"/>
        <v>0</v>
      </c>
      <c r="G132" s="24">
        <f t="shared" si="18"/>
        <v>24735</v>
      </c>
      <c r="H132" s="12">
        <v>0</v>
      </c>
      <c r="I132" s="26">
        <v>0</v>
      </c>
      <c r="J132" s="22"/>
    </row>
    <row r="133" spans="2:10" hidden="1" x14ac:dyDescent="0.3">
      <c r="B133" s="11">
        <v>17</v>
      </c>
      <c r="C133" s="17" t="s">
        <v>29</v>
      </c>
      <c r="D133" s="24"/>
      <c r="E133" s="24"/>
      <c r="F133" s="25">
        <f t="shared" si="16"/>
        <v>0</v>
      </c>
      <c r="G133" s="24">
        <f t="shared" si="18"/>
        <v>24735</v>
      </c>
      <c r="H133" s="12">
        <v>0</v>
      </c>
      <c r="I133" s="26">
        <v>0</v>
      </c>
      <c r="J133" s="22"/>
    </row>
    <row r="134" spans="2:10" hidden="1" x14ac:dyDescent="0.3">
      <c r="B134" s="11">
        <v>18</v>
      </c>
      <c r="C134" s="17" t="s">
        <v>30</v>
      </c>
      <c r="D134" s="24"/>
      <c r="E134" s="24"/>
      <c r="F134" s="25">
        <f t="shared" si="16"/>
        <v>0</v>
      </c>
      <c r="G134" s="24">
        <f t="shared" si="18"/>
        <v>24735</v>
      </c>
      <c r="H134" s="12">
        <v>0</v>
      </c>
      <c r="I134" s="26">
        <v>0</v>
      </c>
      <c r="J134" s="22"/>
    </row>
    <row r="135" spans="2:10" hidden="1" x14ac:dyDescent="0.3">
      <c r="B135" s="11">
        <v>19</v>
      </c>
      <c r="C135" s="17" t="s">
        <v>31</v>
      </c>
      <c r="D135" s="24"/>
      <c r="E135" s="24"/>
      <c r="F135" s="25">
        <f t="shared" si="16"/>
        <v>0</v>
      </c>
      <c r="G135" s="24">
        <f t="shared" si="18"/>
        <v>24735</v>
      </c>
      <c r="H135" s="12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32</v>
      </c>
      <c r="D136" s="24"/>
      <c r="E136" s="24"/>
      <c r="F136" s="25">
        <f t="shared" si="16"/>
        <v>0</v>
      </c>
      <c r="G136" s="24">
        <f t="shared" si="18"/>
        <v>24735</v>
      </c>
      <c r="H136" s="12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33</v>
      </c>
      <c r="D137" s="24"/>
      <c r="E137" s="24"/>
      <c r="F137" s="25">
        <f t="shared" si="16"/>
        <v>0</v>
      </c>
      <c r="G137" s="24">
        <f t="shared" si="18"/>
        <v>24735</v>
      </c>
      <c r="H137" s="12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34</v>
      </c>
      <c r="D138" s="24"/>
      <c r="E138" s="24"/>
      <c r="F138" s="25">
        <f t="shared" si="16"/>
        <v>0</v>
      </c>
      <c r="G138" s="24">
        <f t="shared" si="18"/>
        <v>24735</v>
      </c>
      <c r="H138" s="12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35</v>
      </c>
      <c r="D139" s="24"/>
      <c r="E139" s="24"/>
      <c r="F139" s="25">
        <f t="shared" si="16"/>
        <v>0</v>
      </c>
      <c r="G139" s="24">
        <f t="shared" si="18"/>
        <v>24735</v>
      </c>
      <c r="H139" s="12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36</v>
      </c>
      <c r="D140" s="24"/>
      <c r="E140" s="24"/>
      <c r="F140" s="25">
        <f t="shared" si="16"/>
        <v>0</v>
      </c>
      <c r="G140" s="24">
        <f t="shared" si="18"/>
        <v>24735</v>
      </c>
      <c r="H140" s="12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37</v>
      </c>
      <c r="D141" s="24"/>
      <c r="E141" s="24"/>
      <c r="F141" s="25">
        <f t="shared" si="16"/>
        <v>0</v>
      </c>
      <c r="G141" s="24">
        <f t="shared" si="18"/>
        <v>24735</v>
      </c>
      <c r="H141" s="12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38</v>
      </c>
      <c r="D142" s="30"/>
      <c r="E142" s="30"/>
      <c r="F142" s="31">
        <f t="shared" si="16"/>
        <v>0</v>
      </c>
      <c r="G142" s="30">
        <f t="shared" si="18"/>
        <v>24735</v>
      </c>
      <c r="H142" s="32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39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40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41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42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9B908-D4C7-4CE7-9911-A4A53250205B}">
  <sheetPr codeName="Sheet7"/>
  <dimension ref="B3:L147"/>
  <sheetViews>
    <sheetView topLeftCell="A123" workbookViewId="0">
      <selection activeCell="A131" sqref="A131:XFD142"/>
    </sheetView>
  </sheetViews>
  <sheetFormatPr defaultColWidth="9" defaultRowHeight="14.4" x14ac:dyDescent="0.3"/>
  <cols>
    <col min="1" max="1" width="2" style="3" customWidth="1"/>
    <col min="2" max="2" width="7.62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9" width="13" style="3" customWidth="1"/>
    <col min="10" max="16384" width="9" style="3"/>
  </cols>
  <sheetData>
    <row r="3" spans="2:12" s="37" customFormat="1" ht="18" x14ac:dyDescent="0.35">
      <c r="B3" s="27"/>
      <c r="C3" s="27"/>
      <c r="D3" s="151" t="s">
        <v>51</v>
      </c>
      <c r="E3" s="151"/>
      <c r="F3" s="151"/>
      <c r="G3" s="151"/>
      <c r="H3" s="151"/>
      <c r="I3" s="151"/>
      <c r="J3" s="27"/>
      <c r="K3" s="38"/>
      <c r="L3" s="2"/>
    </row>
    <row r="4" spans="2:12" ht="15.9" customHeight="1" x14ac:dyDescent="0.3">
      <c r="B4" s="128" t="s">
        <v>84</v>
      </c>
      <c r="C4" s="128"/>
      <c r="D4" s="128"/>
      <c r="E4" s="128"/>
      <c r="F4" s="128"/>
      <c r="G4" s="128"/>
      <c r="H4" s="128"/>
      <c r="I4" s="128"/>
      <c r="J4" s="128"/>
      <c r="K4" s="1"/>
      <c r="L4" s="2"/>
    </row>
    <row r="5" spans="2:12" ht="14.4" customHeight="1" x14ac:dyDescent="0.3">
      <c r="B5" s="15"/>
      <c r="C5" s="16"/>
      <c r="D5" s="152" t="s">
        <v>6</v>
      </c>
      <c r="E5" s="153"/>
      <c r="F5" s="153"/>
      <c r="G5" s="154"/>
      <c r="H5" s="155" t="s">
        <v>7</v>
      </c>
      <c r="I5" s="156"/>
      <c r="J5" s="4"/>
      <c r="K5" s="1"/>
      <c r="L5" s="2"/>
    </row>
    <row r="6" spans="2:12" x14ac:dyDescent="0.3">
      <c r="B6" s="13"/>
      <c r="C6" s="14"/>
      <c r="D6" s="159" t="s">
        <v>9</v>
      </c>
      <c r="E6" s="160"/>
      <c r="F6" s="160"/>
      <c r="G6" s="161"/>
      <c r="H6" s="157"/>
      <c r="I6" s="158"/>
      <c r="J6" s="4"/>
      <c r="K6" s="1"/>
      <c r="L6" s="2"/>
    </row>
    <row r="7" spans="2:12" ht="18.899999999999999" customHeight="1" x14ac:dyDescent="0.3">
      <c r="B7" s="132" t="s">
        <v>10</v>
      </c>
      <c r="C7" s="134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62" t="s">
        <v>16</v>
      </c>
      <c r="I7" s="134" t="s">
        <v>17</v>
      </c>
      <c r="J7" s="20"/>
      <c r="K7" s="1"/>
      <c r="L7" s="2"/>
    </row>
    <row r="8" spans="2:12" ht="33" customHeight="1" x14ac:dyDescent="0.3">
      <c r="B8" s="133"/>
      <c r="C8" s="135"/>
      <c r="D8" s="164" t="s">
        <v>20</v>
      </c>
      <c r="E8" s="165"/>
      <c r="F8" s="165"/>
      <c r="G8" s="166"/>
      <c r="H8" s="163"/>
      <c r="I8" s="135"/>
      <c r="J8" s="20"/>
      <c r="K8" s="1"/>
    </row>
    <row r="9" spans="2:12" x14ac:dyDescent="0.3">
      <c r="B9" s="42">
        <v>4</v>
      </c>
      <c r="C9" s="40" t="s">
        <v>21</v>
      </c>
      <c r="D9" s="21">
        <v>116966.7</v>
      </c>
      <c r="E9" s="21">
        <v>0</v>
      </c>
      <c r="F9" s="45">
        <f>+D9+E9</f>
        <v>116966.7</v>
      </c>
      <c r="G9" s="21">
        <f>+F9</f>
        <v>116966.7</v>
      </c>
      <c r="H9" s="46">
        <f t="shared" ref="H9:H16" si="0">((G9-I9)/I9)*100</f>
        <v>191.63662203605355</v>
      </c>
      <c r="I9" s="21">
        <v>40107</v>
      </c>
      <c r="J9" s="22"/>
      <c r="K9" s="1"/>
    </row>
    <row r="10" spans="2:12" x14ac:dyDescent="0.3">
      <c r="B10" s="42">
        <v>5</v>
      </c>
      <c r="C10" s="40" t="s">
        <v>22</v>
      </c>
      <c r="D10" s="26">
        <v>165330.03</v>
      </c>
      <c r="E10" s="26">
        <v>0</v>
      </c>
      <c r="F10" s="49">
        <f>+E10+D10</f>
        <v>165330.03</v>
      </c>
      <c r="G10" s="26">
        <f>+G9+F10</f>
        <v>282296.73</v>
      </c>
      <c r="H10" s="50">
        <f t="shared" si="0"/>
        <v>-35.736221702268182</v>
      </c>
      <c r="I10" s="26">
        <f>+I9+399171.14</f>
        <v>439278.14</v>
      </c>
      <c r="J10" s="22"/>
      <c r="K10" s="1"/>
    </row>
    <row r="11" spans="2:12" x14ac:dyDescent="0.3">
      <c r="B11" s="42">
        <v>6</v>
      </c>
      <c r="C11" s="40" t="s">
        <v>23</v>
      </c>
      <c r="D11" s="26">
        <v>896702.52</v>
      </c>
      <c r="E11" s="26">
        <v>0</v>
      </c>
      <c r="F11" s="49">
        <f>+E11+D11</f>
        <v>896702.52</v>
      </c>
      <c r="G11" s="26">
        <f t="shared" ref="G11:G31" si="1">+G10+F11</f>
        <v>1178999.25</v>
      </c>
      <c r="H11" s="50">
        <f t="shared" si="0"/>
        <v>44.606208894141155</v>
      </c>
      <c r="I11" s="26">
        <f>+I10+376039.03</f>
        <v>815317.17</v>
      </c>
      <c r="J11" s="22"/>
      <c r="K11" s="1"/>
    </row>
    <row r="12" spans="2:12" x14ac:dyDescent="0.3">
      <c r="B12" s="42">
        <v>7</v>
      </c>
      <c r="C12" s="40" t="s">
        <v>24</v>
      </c>
      <c r="D12" s="26">
        <v>570167.59</v>
      </c>
      <c r="E12" s="26">
        <v>400197.5</v>
      </c>
      <c r="F12" s="49">
        <f t="shared" ref="F12:F31" si="2">+E12+D12</f>
        <v>970365.09</v>
      </c>
      <c r="G12" s="26">
        <f>+G11+F12</f>
        <v>2149364.34</v>
      </c>
      <c r="H12" s="50">
        <f t="shared" si="0"/>
        <v>40.107075026660475</v>
      </c>
      <c r="I12" s="26">
        <f>+I11+718769.77</f>
        <v>1534086.94</v>
      </c>
      <c r="J12" s="22"/>
      <c r="K12" s="1"/>
    </row>
    <row r="13" spans="2:12" x14ac:dyDescent="0.3">
      <c r="B13" s="42">
        <v>8</v>
      </c>
      <c r="C13" s="40" t="s">
        <v>25</v>
      </c>
      <c r="D13" s="26">
        <v>1091406.01</v>
      </c>
      <c r="E13" s="26">
        <v>0</v>
      </c>
      <c r="F13" s="49">
        <f t="shared" si="2"/>
        <v>1091406.01</v>
      </c>
      <c r="G13" s="26">
        <f t="shared" ref="G13:G19" si="3">+G12+F13</f>
        <v>3240770.3499999996</v>
      </c>
      <c r="H13" s="50">
        <f t="shared" si="0"/>
        <v>30.957374487837917</v>
      </c>
      <c r="I13" s="26">
        <v>2474675.7200000002</v>
      </c>
      <c r="J13" s="22"/>
      <c r="K13" s="1"/>
    </row>
    <row r="14" spans="2:12" x14ac:dyDescent="0.3">
      <c r="B14" s="42">
        <v>9</v>
      </c>
      <c r="C14" s="40" t="s">
        <v>26</v>
      </c>
      <c r="D14" s="26">
        <v>863298.01</v>
      </c>
      <c r="E14" s="26">
        <v>0</v>
      </c>
      <c r="F14" s="49">
        <f t="shared" si="2"/>
        <v>863298.01</v>
      </c>
      <c r="G14" s="26">
        <f t="shared" si="3"/>
        <v>4104068.3599999994</v>
      </c>
      <c r="H14" s="50">
        <f t="shared" si="0"/>
        <v>2.464846960077526</v>
      </c>
      <c r="I14" s="26">
        <f>+I13+1530667.07</f>
        <v>4005342.79</v>
      </c>
      <c r="J14" s="22"/>
      <c r="K14" s="1"/>
    </row>
    <row r="15" spans="2:12" x14ac:dyDescent="0.3">
      <c r="B15" s="42">
        <v>10</v>
      </c>
      <c r="C15" s="40" t="s">
        <v>67</v>
      </c>
      <c r="D15" s="26">
        <v>1404338.52</v>
      </c>
      <c r="E15" s="26">
        <v>0</v>
      </c>
      <c r="F15" s="49">
        <f t="shared" si="2"/>
        <v>1404338.52</v>
      </c>
      <c r="G15" s="26">
        <f t="shared" si="3"/>
        <v>5508406.879999999</v>
      </c>
      <c r="H15" s="50">
        <f t="shared" si="0"/>
        <v>-5.7205904615992136</v>
      </c>
      <c r="I15" s="26">
        <f>+I14+1837297.62</f>
        <v>5842640.4100000001</v>
      </c>
      <c r="J15" s="22"/>
      <c r="K15" s="1"/>
    </row>
    <row r="16" spans="2:12" x14ac:dyDescent="0.3">
      <c r="B16" s="42">
        <v>11</v>
      </c>
      <c r="C16" s="40" t="s">
        <v>68</v>
      </c>
      <c r="D16" s="26">
        <v>2418715.52</v>
      </c>
      <c r="E16" s="26">
        <v>0</v>
      </c>
      <c r="F16" s="49">
        <f t="shared" si="2"/>
        <v>2418715.52</v>
      </c>
      <c r="G16" s="26">
        <f t="shared" si="3"/>
        <v>7927122.3999999985</v>
      </c>
      <c r="H16" s="50">
        <f t="shared" si="0"/>
        <v>13.704627673612851</v>
      </c>
      <c r="I16" s="26">
        <f>+I15+1129039.25</f>
        <v>6971679.6600000001</v>
      </c>
      <c r="J16" s="22"/>
      <c r="K16" s="1"/>
    </row>
    <row r="17" spans="2:11" x14ac:dyDescent="0.3">
      <c r="B17" s="42">
        <v>12</v>
      </c>
      <c r="C17" s="40" t="s">
        <v>83</v>
      </c>
      <c r="D17" s="26">
        <v>2585248.5499999998</v>
      </c>
      <c r="E17" s="26">
        <v>0</v>
      </c>
      <c r="F17" s="49">
        <f t="shared" si="2"/>
        <v>2585248.5499999998</v>
      </c>
      <c r="G17" s="26">
        <f t="shared" si="3"/>
        <v>10512370.949999999</v>
      </c>
      <c r="H17" s="50">
        <f>((G17-I17)/I17)*100</f>
        <v>35.563973952069446</v>
      </c>
      <c r="I17" s="26">
        <f>+I16+782866.51</f>
        <v>7754546.1699999999</v>
      </c>
      <c r="J17" s="22"/>
      <c r="K17" s="1"/>
    </row>
    <row r="18" spans="2:11" x14ac:dyDescent="0.3">
      <c r="B18" s="42">
        <v>13</v>
      </c>
      <c r="C18" s="40" t="s">
        <v>69</v>
      </c>
      <c r="D18" s="26">
        <v>1450265.05</v>
      </c>
      <c r="E18" s="26">
        <v>0</v>
      </c>
      <c r="F18" s="49">
        <f t="shared" si="2"/>
        <v>1450265.05</v>
      </c>
      <c r="G18" s="26">
        <f t="shared" si="3"/>
        <v>11962636</v>
      </c>
      <c r="H18" s="50">
        <f>((G18-I18)/I18)*100</f>
        <v>42.026167228058114</v>
      </c>
      <c r="I18" s="26">
        <v>8422839.4199999999</v>
      </c>
      <c r="J18" s="22"/>
      <c r="K18" s="1"/>
    </row>
    <row r="19" spans="2:11" x14ac:dyDescent="0.3">
      <c r="B19" s="42">
        <v>14</v>
      </c>
      <c r="C19" s="86" t="s">
        <v>70</v>
      </c>
      <c r="D19" s="26">
        <v>293840</v>
      </c>
      <c r="E19" s="26">
        <v>0</v>
      </c>
      <c r="F19" s="49">
        <f t="shared" si="2"/>
        <v>293840</v>
      </c>
      <c r="G19" s="26">
        <f t="shared" si="3"/>
        <v>12256476</v>
      </c>
      <c r="H19" s="50">
        <f>((G19-I19)/I19)*100</f>
        <v>26.120683224198455</v>
      </c>
      <c r="I19" s="26">
        <f>+I18+1295214.5</f>
        <v>9718053.9199999999</v>
      </c>
      <c r="J19" s="22"/>
      <c r="K19" s="1"/>
    </row>
    <row r="20" spans="2:11" hidden="1" x14ac:dyDescent="0.3">
      <c r="B20" s="11">
        <v>15</v>
      </c>
      <c r="C20" s="17" t="s">
        <v>27</v>
      </c>
      <c r="D20" s="24"/>
      <c r="E20" s="24"/>
      <c r="F20" s="25">
        <f t="shared" si="2"/>
        <v>0</v>
      </c>
      <c r="G20" s="24">
        <f t="shared" si="1"/>
        <v>12256476</v>
      </c>
      <c r="H20" s="12">
        <v>0</v>
      </c>
      <c r="I20" s="26">
        <v>0</v>
      </c>
      <c r="J20" s="22"/>
      <c r="K20" s="1"/>
    </row>
    <row r="21" spans="2:11" hidden="1" x14ac:dyDescent="0.3">
      <c r="B21" s="11">
        <v>16</v>
      </c>
      <c r="C21" s="17" t="s">
        <v>28</v>
      </c>
      <c r="D21" s="24"/>
      <c r="E21" s="24"/>
      <c r="F21" s="25">
        <f t="shared" si="2"/>
        <v>0</v>
      </c>
      <c r="G21" s="24">
        <f t="shared" si="1"/>
        <v>12256476</v>
      </c>
      <c r="H21" s="12">
        <v>0</v>
      </c>
      <c r="I21" s="26">
        <v>0</v>
      </c>
      <c r="J21" s="22"/>
      <c r="K21" s="1"/>
    </row>
    <row r="22" spans="2:11" hidden="1" x14ac:dyDescent="0.3">
      <c r="B22" s="11">
        <v>17</v>
      </c>
      <c r="C22" s="17" t="s">
        <v>29</v>
      </c>
      <c r="D22" s="24"/>
      <c r="E22" s="24"/>
      <c r="F22" s="25">
        <f t="shared" si="2"/>
        <v>0</v>
      </c>
      <c r="G22" s="24">
        <f t="shared" si="1"/>
        <v>12256476</v>
      </c>
      <c r="H22" s="12">
        <v>0</v>
      </c>
      <c r="I22" s="26">
        <v>0</v>
      </c>
      <c r="J22" s="22"/>
      <c r="K22" s="1"/>
    </row>
    <row r="23" spans="2:11" hidden="1" x14ac:dyDescent="0.3">
      <c r="B23" s="11">
        <v>18</v>
      </c>
      <c r="C23" s="17" t="s">
        <v>30</v>
      </c>
      <c r="D23" s="24"/>
      <c r="E23" s="24"/>
      <c r="F23" s="25">
        <f t="shared" si="2"/>
        <v>0</v>
      </c>
      <c r="G23" s="24">
        <f t="shared" si="1"/>
        <v>12256476</v>
      </c>
      <c r="H23" s="12">
        <v>0</v>
      </c>
      <c r="I23" s="26">
        <v>0</v>
      </c>
      <c r="J23" s="22"/>
      <c r="K23" s="1"/>
    </row>
    <row r="24" spans="2:11" hidden="1" x14ac:dyDescent="0.3">
      <c r="B24" s="11">
        <v>19</v>
      </c>
      <c r="C24" s="17" t="s">
        <v>31</v>
      </c>
      <c r="D24" s="24"/>
      <c r="E24" s="24"/>
      <c r="F24" s="25">
        <f t="shared" si="2"/>
        <v>0</v>
      </c>
      <c r="G24" s="24">
        <f t="shared" si="1"/>
        <v>12256476</v>
      </c>
      <c r="H24" s="12">
        <v>0</v>
      </c>
      <c r="I24" s="26">
        <v>0</v>
      </c>
      <c r="J24" s="22"/>
      <c r="K24" s="1"/>
    </row>
    <row r="25" spans="2:11" hidden="1" x14ac:dyDescent="0.3">
      <c r="B25" s="11">
        <v>20</v>
      </c>
      <c r="C25" s="17" t="s">
        <v>32</v>
      </c>
      <c r="D25" s="24"/>
      <c r="E25" s="24"/>
      <c r="F25" s="25">
        <f t="shared" si="2"/>
        <v>0</v>
      </c>
      <c r="G25" s="24">
        <f t="shared" si="1"/>
        <v>12256476</v>
      </c>
      <c r="H25" s="12">
        <v>0</v>
      </c>
      <c r="I25" s="26">
        <v>0</v>
      </c>
      <c r="J25" s="22"/>
      <c r="K25" s="1"/>
    </row>
    <row r="26" spans="2:11" hidden="1" x14ac:dyDescent="0.3">
      <c r="B26" s="11">
        <v>21</v>
      </c>
      <c r="C26" s="17" t="s">
        <v>33</v>
      </c>
      <c r="D26" s="24"/>
      <c r="E26" s="24"/>
      <c r="F26" s="25">
        <f t="shared" si="2"/>
        <v>0</v>
      </c>
      <c r="G26" s="24">
        <f t="shared" si="1"/>
        <v>12256476</v>
      </c>
      <c r="H26" s="12">
        <v>0</v>
      </c>
      <c r="I26" s="26">
        <v>0</v>
      </c>
      <c r="J26" s="22"/>
      <c r="K26" s="1"/>
    </row>
    <row r="27" spans="2:11" hidden="1" x14ac:dyDescent="0.3">
      <c r="B27" s="11">
        <v>22</v>
      </c>
      <c r="C27" s="17" t="s">
        <v>34</v>
      </c>
      <c r="D27" s="24"/>
      <c r="E27" s="24"/>
      <c r="F27" s="25">
        <f t="shared" si="2"/>
        <v>0</v>
      </c>
      <c r="G27" s="24">
        <f t="shared" si="1"/>
        <v>12256476</v>
      </c>
      <c r="H27" s="12">
        <v>0</v>
      </c>
      <c r="I27" s="26">
        <v>0</v>
      </c>
      <c r="J27" s="22"/>
      <c r="K27" s="1"/>
    </row>
    <row r="28" spans="2:11" hidden="1" x14ac:dyDescent="0.3">
      <c r="B28" s="11">
        <v>23</v>
      </c>
      <c r="C28" s="17" t="s">
        <v>35</v>
      </c>
      <c r="D28" s="24"/>
      <c r="E28" s="24"/>
      <c r="F28" s="25">
        <f t="shared" si="2"/>
        <v>0</v>
      </c>
      <c r="G28" s="24">
        <f t="shared" si="1"/>
        <v>12256476</v>
      </c>
      <c r="H28" s="12">
        <v>0</v>
      </c>
      <c r="I28" s="26">
        <v>0</v>
      </c>
      <c r="J28" s="22"/>
      <c r="K28" s="1"/>
    </row>
    <row r="29" spans="2:11" hidden="1" x14ac:dyDescent="0.3">
      <c r="B29" s="11">
        <v>24</v>
      </c>
      <c r="C29" s="17" t="s">
        <v>36</v>
      </c>
      <c r="D29" s="24"/>
      <c r="E29" s="24"/>
      <c r="F29" s="25">
        <f t="shared" si="2"/>
        <v>0</v>
      </c>
      <c r="G29" s="24">
        <f t="shared" si="1"/>
        <v>12256476</v>
      </c>
      <c r="H29" s="12">
        <v>0</v>
      </c>
      <c r="I29" s="26">
        <v>0</v>
      </c>
      <c r="J29" s="22"/>
      <c r="K29" s="1"/>
    </row>
    <row r="30" spans="2:11" hidden="1" x14ac:dyDescent="0.3">
      <c r="B30" s="11">
        <v>25</v>
      </c>
      <c r="C30" s="18" t="s">
        <v>37</v>
      </c>
      <c r="D30" s="24"/>
      <c r="E30" s="24"/>
      <c r="F30" s="25">
        <f t="shared" si="2"/>
        <v>0</v>
      </c>
      <c r="G30" s="24">
        <f t="shared" si="1"/>
        <v>12256476</v>
      </c>
      <c r="H30" s="12">
        <v>0</v>
      </c>
      <c r="I30" s="26">
        <v>0</v>
      </c>
      <c r="J30" s="22"/>
      <c r="K30" s="1"/>
    </row>
    <row r="31" spans="2:11" hidden="1" x14ac:dyDescent="0.3">
      <c r="B31" s="28">
        <v>26</v>
      </c>
      <c r="C31" s="29" t="s">
        <v>38</v>
      </c>
      <c r="D31" s="30"/>
      <c r="E31" s="30"/>
      <c r="F31" s="31">
        <f t="shared" si="2"/>
        <v>0</v>
      </c>
      <c r="G31" s="30">
        <f t="shared" si="1"/>
        <v>12256476</v>
      </c>
      <c r="H31" s="32">
        <v>0</v>
      </c>
      <c r="I31" s="33">
        <v>0</v>
      </c>
      <c r="J31" s="22"/>
      <c r="K31" s="1"/>
    </row>
    <row r="32" spans="2:11" x14ac:dyDescent="0.3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">
      <c r="B33" s="8" t="s">
        <v>39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">
      <c r="B34" s="9" t="s">
        <v>40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">
      <c r="B35" s="9" t="s">
        <v>41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">
      <c r="B36" s="9" t="s">
        <v>42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" x14ac:dyDescent="0.35">
      <c r="B39" s="10"/>
      <c r="C39" s="10"/>
      <c r="D39" s="167" t="s">
        <v>43</v>
      </c>
      <c r="E39" s="167"/>
      <c r="F39" s="167"/>
      <c r="G39" s="167"/>
      <c r="H39" s="167"/>
      <c r="I39" s="167"/>
      <c r="J39" s="10"/>
    </row>
    <row r="40" spans="2:11" s="37" customFormat="1" ht="15.6" x14ac:dyDescent="0.3">
      <c r="B40" s="27"/>
      <c r="C40" s="27"/>
      <c r="D40" s="168" t="s">
        <v>51</v>
      </c>
      <c r="E40" s="168"/>
      <c r="F40" s="168"/>
      <c r="G40" s="168"/>
      <c r="H40" s="168"/>
      <c r="I40" s="168"/>
      <c r="J40" s="27"/>
    </row>
    <row r="41" spans="2:11" ht="15.9" customHeight="1" x14ac:dyDescent="0.3">
      <c r="B41" s="128" t="s">
        <v>84</v>
      </c>
      <c r="C41" s="128"/>
      <c r="D41" s="128"/>
      <c r="E41" s="128"/>
      <c r="F41" s="128"/>
      <c r="G41" s="128"/>
      <c r="H41" s="128"/>
      <c r="I41" s="128"/>
      <c r="J41" s="128"/>
    </row>
    <row r="42" spans="2:11" ht="14.4" customHeight="1" x14ac:dyDescent="0.3">
      <c r="B42" s="15"/>
      <c r="C42" s="16"/>
      <c r="D42" s="152" t="s">
        <v>6</v>
      </c>
      <c r="E42" s="153"/>
      <c r="F42" s="153"/>
      <c r="G42" s="154"/>
      <c r="H42" s="155" t="s">
        <v>7</v>
      </c>
      <c r="I42" s="156"/>
      <c r="J42" s="4"/>
    </row>
    <row r="43" spans="2:11" x14ac:dyDescent="0.3">
      <c r="B43" s="13"/>
      <c r="C43" s="14"/>
      <c r="D43" s="159" t="s">
        <v>9</v>
      </c>
      <c r="E43" s="160"/>
      <c r="F43" s="160"/>
      <c r="G43" s="161"/>
      <c r="H43" s="157"/>
      <c r="I43" s="158"/>
      <c r="J43" s="4"/>
    </row>
    <row r="44" spans="2:11" ht="14.4" customHeight="1" x14ac:dyDescent="0.3">
      <c r="B44" s="132" t="s">
        <v>10</v>
      </c>
      <c r="C44" s="134" t="s">
        <v>11</v>
      </c>
      <c r="D44" s="19" t="s">
        <v>12</v>
      </c>
      <c r="E44" s="19" t="s">
        <v>13</v>
      </c>
      <c r="F44" s="19" t="s">
        <v>14</v>
      </c>
      <c r="G44" s="19" t="s">
        <v>15</v>
      </c>
      <c r="H44" s="162" t="s">
        <v>16</v>
      </c>
      <c r="I44" s="134" t="s">
        <v>17</v>
      </c>
      <c r="J44" s="20"/>
    </row>
    <row r="45" spans="2:11" ht="37.65" customHeight="1" x14ac:dyDescent="0.3">
      <c r="B45" s="133"/>
      <c r="C45" s="135"/>
      <c r="D45" s="164" t="s">
        <v>20</v>
      </c>
      <c r="E45" s="165"/>
      <c r="F45" s="165"/>
      <c r="G45" s="166"/>
      <c r="H45" s="163"/>
      <c r="I45" s="135"/>
      <c r="J45" s="20"/>
    </row>
    <row r="46" spans="2:11" x14ac:dyDescent="0.3">
      <c r="B46" s="42">
        <v>4</v>
      </c>
      <c r="C46" s="40" t="s">
        <v>21</v>
      </c>
      <c r="D46" s="21">
        <v>85624.69</v>
      </c>
      <c r="E46" s="21">
        <v>0</v>
      </c>
      <c r="F46" s="45">
        <f>+D46+E46</f>
        <v>85624.69</v>
      </c>
      <c r="G46" s="21">
        <f>+F46</f>
        <v>85624.69</v>
      </c>
      <c r="H46" s="46">
        <f t="shared" ref="H46:H53" si="4">((G46-I46)/I46)*100</f>
        <v>113.4906375445683</v>
      </c>
      <c r="I46" s="21">
        <v>40107</v>
      </c>
      <c r="J46" s="22"/>
    </row>
    <row r="47" spans="2:11" x14ac:dyDescent="0.3">
      <c r="B47" s="42">
        <v>5</v>
      </c>
      <c r="C47" s="40" t="s">
        <v>22</v>
      </c>
      <c r="D47" s="26">
        <v>101932</v>
      </c>
      <c r="E47" s="26">
        <v>0</v>
      </c>
      <c r="F47" s="49">
        <f>+E47+D47</f>
        <v>101932</v>
      </c>
      <c r="G47" s="26">
        <f>+G46+F47</f>
        <v>187556.69</v>
      </c>
      <c r="H47" s="50">
        <f t="shared" si="4"/>
        <v>-38.477690913759524</v>
      </c>
      <c r="I47" s="26">
        <f>+I46+264752.64</f>
        <v>304859.64</v>
      </c>
      <c r="J47" s="22"/>
    </row>
    <row r="48" spans="2:11" x14ac:dyDescent="0.3">
      <c r="B48" s="42">
        <v>6</v>
      </c>
      <c r="C48" s="40" t="s">
        <v>23</v>
      </c>
      <c r="D48" s="26">
        <v>796239</v>
      </c>
      <c r="E48" s="26">
        <v>0</v>
      </c>
      <c r="F48" s="49">
        <f>+E48+D48</f>
        <v>796239</v>
      </c>
      <c r="G48" s="26">
        <f t="shared" ref="G48" si="5">+G47+F48</f>
        <v>983795.69</v>
      </c>
      <c r="H48" s="50">
        <f t="shared" si="4"/>
        <v>55.82718781031334</v>
      </c>
      <c r="I48" s="26">
        <f>+I47+326478</f>
        <v>631337.64</v>
      </c>
      <c r="J48" s="22"/>
    </row>
    <row r="49" spans="2:10" x14ac:dyDescent="0.3">
      <c r="B49" s="42">
        <v>7</v>
      </c>
      <c r="C49" s="40" t="s">
        <v>24</v>
      </c>
      <c r="D49" s="26">
        <v>444149.01</v>
      </c>
      <c r="E49" s="26">
        <v>400197.5</v>
      </c>
      <c r="F49" s="49">
        <f t="shared" ref="F49:F68" si="6">+E49+D49</f>
        <v>844346.51</v>
      </c>
      <c r="G49" s="26">
        <f>+G48+F49</f>
        <v>1828142.2</v>
      </c>
      <c r="H49" s="50">
        <f t="shared" si="4"/>
        <v>43.458818123120786</v>
      </c>
      <c r="I49" s="26">
        <f>+I48+642994.76</f>
        <v>1274332.3999999999</v>
      </c>
      <c r="J49" s="22"/>
    </row>
    <row r="50" spans="2:10" x14ac:dyDescent="0.3">
      <c r="B50" s="42">
        <v>8</v>
      </c>
      <c r="C50" s="40" t="s">
        <v>25</v>
      </c>
      <c r="D50" s="26">
        <v>1015927.5</v>
      </c>
      <c r="E50" s="26">
        <v>0</v>
      </c>
      <c r="F50" s="49">
        <f t="shared" si="6"/>
        <v>1015927.5</v>
      </c>
      <c r="G50" s="26">
        <f t="shared" ref="G50:G56" si="7">+G49+F50</f>
        <v>2844069.7</v>
      </c>
      <c r="H50" s="50">
        <f t="shared" si="4"/>
        <v>34.460849437489699</v>
      </c>
      <c r="I50" s="26">
        <v>2115165.65</v>
      </c>
      <c r="J50" s="22"/>
    </row>
    <row r="51" spans="2:10" x14ac:dyDescent="0.3">
      <c r="B51" s="42">
        <v>9</v>
      </c>
      <c r="C51" s="40" t="s">
        <v>26</v>
      </c>
      <c r="D51" s="26">
        <v>740476</v>
      </c>
      <c r="E51" s="26">
        <v>0</v>
      </c>
      <c r="F51" s="49">
        <f t="shared" si="6"/>
        <v>740476</v>
      </c>
      <c r="G51" s="26">
        <f t="shared" si="7"/>
        <v>3584545.7</v>
      </c>
      <c r="H51" s="50">
        <f t="shared" si="4"/>
        <v>0.90225309423674138</v>
      </c>
      <c r="I51" s="26">
        <f>+I50+1437327.57</f>
        <v>3552493.2199999997</v>
      </c>
      <c r="J51" s="22"/>
    </row>
    <row r="52" spans="2:10" x14ac:dyDescent="0.3">
      <c r="B52" s="42">
        <v>10</v>
      </c>
      <c r="C52" s="40" t="s">
        <v>67</v>
      </c>
      <c r="D52" s="26">
        <v>1376009.52</v>
      </c>
      <c r="E52" s="26">
        <v>0</v>
      </c>
      <c r="F52" s="49">
        <f t="shared" si="6"/>
        <v>1376009.52</v>
      </c>
      <c r="G52" s="26">
        <f t="shared" si="7"/>
        <v>4960555.2200000007</v>
      </c>
      <c r="H52" s="50">
        <f t="shared" si="4"/>
        <v>-6.0773483780277147</v>
      </c>
      <c r="I52" s="26">
        <f>+I51+1729039.12</f>
        <v>5281532.34</v>
      </c>
      <c r="J52" s="22"/>
    </row>
    <row r="53" spans="2:10" x14ac:dyDescent="0.3">
      <c r="B53" s="42">
        <v>11</v>
      </c>
      <c r="C53" s="40" t="s">
        <v>68</v>
      </c>
      <c r="D53" s="26">
        <v>2321141</v>
      </c>
      <c r="E53" s="26">
        <v>0</v>
      </c>
      <c r="F53" s="49">
        <f t="shared" si="6"/>
        <v>2321141</v>
      </c>
      <c r="G53" s="26">
        <f t="shared" si="7"/>
        <v>7281696.2200000007</v>
      </c>
      <c r="H53" s="50">
        <f t="shared" si="4"/>
        <v>13.738088575799301</v>
      </c>
      <c r="I53" s="26">
        <f>+I52+1120629.25</f>
        <v>6402161.5899999999</v>
      </c>
      <c r="J53" s="22"/>
    </row>
    <row r="54" spans="2:10" x14ac:dyDescent="0.3">
      <c r="B54" s="42">
        <v>12</v>
      </c>
      <c r="C54" s="40" t="s">
        <v>83</v>
      </c>
      <c r="D54" s="26">
        <v>2581471.04</v>
      </c>
      <c r="E54" s="26">
        <v>0</v>
      </c>
      <c r="F54" s="49">
        <f t="shared" si="6"/>
        <v>2581471.04</v>
      </c>
      <c r="G54" s="26">
        <f t="shared" si="7"/>
        <v>9863167.2600000016</v>
      </c>
      <c r="H54" s="50">
        <f>((G54-I54)/I54)*100</f>
        <v>37.411411301045021</v>
      </c>
      <c r="I54" s="26">
        <f>+I53+775675.51</f>
        <v>7177837.0999999996</v>
      </c>
      <c r="J54" s="22"/>
    </row>
    <row r="55" spans="2:10" x14ac:dyDescent="0.3">
      <c r="B55" s="42">
        <v>13</v>
      </c>
      <c r="C55" s="40" t="s">
        <v>69</v>
      </c>
      <c r="D55" s="26">
        <v>1448201.05</v>
      </c>
      <c r="E55" s="26">
        <v>0</v>
      </c>
      <c r="F55" s="49">
        <f t="shared" si="6"/>
        <v>1448201.05</v>
      </c>
      <c r="G55" s="26">
        <f t="shared" si="7"/>
        <v>11311368.310000002</v>
      </c>
      <c r="H55" s="50">
        <f>((G55-I55)/I55)*100</f>
        <v>44.164929786056931</v>
      </c>
      <c r="I55" s="26">
        <v>7846130.3499999996</v>
      </c>
      <c r="J55" s="22"/>
    </row>
    <row r="56" spans="2:10" x14ac:dyDescent="0.3">
      <c r="B56" s="42">
        <v>14</v>
      </c>
      <c r="C56" s="86" t="s">
        <v>70</v>
      </c>
      <c r="D56" s="26">
        <v>286016</v>
      </c>
      <c r="E56" s="26">
        <v>0</v>
      </c>
      <c r="F56" s="49">
        <f t="shared" si="6"/>
        <v>286016</v>
      </c>
      <c r="G56" s="26">
        <f t="shared" si="7"/>
        <v>11597384.310000002</v>
      </c>
      <c r="H56" s="50">
        <f>((G56-I56)/I56)*100</f>
        <v>26.86737564659321</v>
      </c>
      <c r="I56" s="26">
        <f>+I55+1295214.5</f>
        <v>9141344.8499999996</v>
      </c>
      <c r="J56" s="22"/>
    </row>
    <row r="57" spans="2:10" hidden="1" x14ac:dyDescent="0.3">
      <c r="B57" s="11">
        <v>15</v>
      </c>
      <c r="C57" s="17" t="s">
        <v>27</v>
      </c>
      <c r="D57" s="24"/>
      <c r="E57" s="24"/>
      <c r="F57" s="25">
        <f t="shared" si="6"/>
        <v>0</v>
      </c>
      <c r="G57" s="24">
        <f t="shared" ref="G57:G68" si="8">+G56+F57</f>
        <v>11597384.310000002</v>
      </c>
      <c r="H57" s="12">
        <v>0</v>
      </c>
      <c r="I57" s="26">
        <v>0</v>
      </c>
      <c r="J57" s="22"/>
    </row>
    <row r="58" spans="2:10" hidden="1" x14ac:dyDescent="0.3">
      <c r="B58" s="11">
        <v>16</v>
      </c>
      <c r="C58" s="17" t="s">
        <v>28</v>
      </c>
      <c r="D58" s="24"/>
      <c r="E58" s="24"/>
      <c r="F58" s="25">
        <f t="shared" si="6"/>
        <v>0</v>
      </c>
      <c r="G58" s="24">
        <f t="shared" si="8"/>
        <v>11597384.310000002</v>
      </c>
      <c r="H58" s="12">
        <v>0</v>
      </c>
      <c r="I58" s="26">
        <v>0</v>
      </c>
      <c r="J58" s="22"/>
    </row>
    <row r="59" spans="2:10" hidden="1" x14ac:dyDescent="0.3">
      <c r="B59" s="11">
        <v>17</v>
      </c>
      <c r="C59" s="17" t="s">
        <v>29</v>
      </c>
      <c r="D59" s="24"/>
      <c r="E59" s="24"/>
      <c r="F59" s="25">
        <f t="shared" si="6"/>
        <v>0</v>
      </c>
      <c r="G59" s="24">
        <f t="shared" si="8"/>
        <v>11597384.310000002</v>
      </c>
      <c r="H59" s="12">
        <v>0</v>
      </c>
      <c r="I59" s="26">
        <v>0</v>
      </c>
      <c r="J59" s="22"/>
    </row>
    <row r="60" spans="2:10" hidden="1" x14ac:dyDescent="0.3">
      <c r="B60" s="11">
        <v>18</v>
      </c>
      <c r="C60" s="17" t="s">
        <v>30</v>
      </c>
      <c r="D60" s="24"/>
      <c r="E60" s="24"/>
      <c r="F60" s="25">
        <f t="shared" si="6"/>
        <v>0</v>
      </c>
      <c r="G60" s="24">
        <f t="shared" si="8"/>
        <v>11597384.310000002</v>
      </c>
      <c r="H60" s="12">
        <v>0</v>
      </c>
      <c r="I60" s="26">
        <v>0</v>
      </c>
      <c r="J60" s="22"/>
    </row>
    <row r="61" spans="2:10" hidden="1" x14ac:dyDescent="0.3">
      <c r="B61" s="11">
        <v>19</v>
      </c>
      <c r="C61" s="17" t="s">
        <v>31</v>
      </c>
      <c r="D61" s="24"/>
      <c r="E61" s="24"/>
      <c r="F61" s="25">
        <f t="shared" si="6"/>
        <v>0</v>
      </c>
      <c r="G61" s="24">
        <f t="shared" si="8"/>
        <v>11597384.310000002</v>
      </c>
      <c r="H61" s="12">
        <v>0</v>
      </c>
      <c r="I61" s="26">
        <v>0</v>
      </c>
      <c r="J61" s="22"/>
    </row>
    <row r="62" spans="2:10" hidden="1" x14ac:dyDescent="0.3">
      <c r="B62" s="11">
        <v>20</v>
      </c>
      <c r="C62" s="17" t="s">
        <v>32</v>
      </c>
      <c r="D62" s="24"/>
      <c r="E62" s="24"/>
      <c r="F62" s="25">
        <f t="shared" si="6"/>
        <v>0</v>
      </c>
      <c r="G62" s="24">
        <f t="shared" si="8"/>
        <v>11597384.310000002</v>
      </c>
      <c r="H62" s="12">
        <v>0</v>
      </c>
      <c r="I62" s="26">
        <v>0</v>
      </c>
      <c r="J62" s="22"/>
    </row>
    <row r="63" spans="2:10" hidden="1" x14ac:dyDescent="0.3">
      <c r="B63" s="11">
        <v>21</v>
      </c>
      <c r="C63" s="17" t="s">
        <v>33</v>
      </c>
      <c r="D63" s="24"/>
      <c r="E63" s="24"/>
      <c r="F63" s="25">
        <f t="shared" si="6"/>
        <v>0</v>
      </c>
      <c r="G63" s="24">
        <f t="shared" si="8"/>
        <v>11597384.310000002</v>
      </c>
      <c r="H63" s="12">
        <v>0</v>
      </c>
      <c r="I63" s="26">
        <v>0</v>
      </c>
      <c r="J63" s="22"/>
    </row>
    <row r="64" spans="2:10" hidden="1" x14ac:dyDescent="0.3">
      <c r="B64" s="11">
        <v>22</v>
      </c>
      <c r="C64" s="17" t="s">
        <v>34</v>
      </c>
      <c r="D64" s="24"/>
      <c r="E64" s="24"/>
      <c r="F64" s="25">
        <f t="shared" si="6"/>
        <v>0</v>
      </c>
      <c r="G64" s="24">
        <f t="shared" si="8"/>
        <v>11597384.310000002</v>
      </c>
      <c r="H64" s="12">
        <v>0</v>
      </c>
      <c r="I64" s="26">
        <v>0</v>
      </c>
      <c r="J64" s="22"/>
    </row>
    <row r="65" spans="2:10" hidden="1" x14ac:dyDescent="0.3">
      <c r="B65" s="11">
        <v>23</v>
      </c>
      <c r="C65" s="17" t="s">
        <v>35</v>
      </c>
      <c r="D65" s="24"/>
      <c r="E65" s="24"/>
      <c r="F65" s="25">
        <f t="shared" si="6"/>
        <v>0</v>
      </c>
      <c r="G65" s="24">
        <f t="shared" si="8"/>
        <v>11597384.310000002</v>
      </c>
      <c r="H65" s="12">
        <v>0</v>
      </c>
      <c r="I65" s="26">
        <v>0</v>
      </c>
      <c r="J65" s="22"/>
    </row>
    <row r="66" spans="2:10" hidden="1" x14ac:dyDescent="0.3">
      <c r="B66" s="11">
        <v>24</v>
      </c>
      <c r="C66" s="17" t="s">
        <v>36</v>
      </c>
      <c r="D66" s="24"/>
      <c r="E66" s="24"/>
      <c r="F66" s="25">
        <f t="shared" si="6"/>
        <v>0</v>
      </c>
      <c r="G66" s="24">
        <f t="shared" si="8"/>
        <v>11597384.310000002</v>
      </c>
      <c r="H66" s="12">
        <v>0</v>
      </c>
      <c r="I66" s="26">
        <v>0</v>
      </c>
      <c r="J66" s="22"/>
    </row>
    <row r="67" spans="2:10" hidden="1" x14ac:dyDescent="0.3">
      <c r="B67" s="11">
        <v>25</v>
      </c>
      <c r="C67" s="18" t="s">
        <v>37</v>
      </c>
      <c r="D67" s="24"/>
      <c r="E67" s="24"/>
      <c r="F67" s="25">
        <f t="shared" si="6"/>
        <v>0</v>
      </c>
      <c r="G67" s="24">
        <f t="shared" si="8"/>
        <v>11597384.310000002</v>
      </c>
      <c r="H67" s="12">
        <v>0</v>
      </c>
      <c r="I67" s="26">
        <v>0</v>
      </c>
      <c r="J67" s="22"/>
    </row>
    <row r="68" spans="2:10" hidden="1" x14ac:dyDescent="0.3">
      <c r="B68" s="28">
        <v>26</v>
      </c>
      <c r="C68" s="29" t="s">
        <v>38</v>
      </c>
      <c r="D68" s="30"/>
      <c r="E68" s="30"/>
      <c r="F68" s="31">
        <f t="shared" si="6"/>
        <v>0</v>
      </c>
      <c r="G68" s="30">
        <f t="shared" si="8"/>
        <v>11597384.310000002</v>
      </c>
      <c r="H68" s="32">
        <v>0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39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40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41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42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69" t="s">
        <v>45</v>
      </c>
      <c r="E76" s="169"/>
      <c r="F76" s="169"/>
      <c r="G76" s="169"/>
      <c r="H76" s="169"/>
      <c r="I76" s="169"/>
      <c r="J76" s="10"/>
    </row>
    <row r="77" spans="2:10" s="37" customFormat="1" ht="15.6" x14ac:dyDescent="0.3">
      <c r="B77" s="27"/>
      <c r="C77" s="27"/>
      <c r="D77" s="170" t="s">
        <v>51</v>
      </c>
      <c r="E77" s="170"/>
      <c r="F77" s="170"/>
      <c r="G77" s="170"/>
      <c r="H77" s="170"/>
      <c r="I77" s="170"/>
      <c r="J77" s="27"/>
    </row>
    <row r="78" spans="2:10" ht="15.9" customHeight="1" x14ac:dyDescent="0.3">
      <c r="B78" s="128" t="s">
        <v>84</v>
      </c>
      <c r="C78" s="128"/>
      <c r="D78" s="128"/>
      <c r="E78" s="128"/>
      <c r="F78" s="128"/>
      <c r="G78" s="128"/>
      <c r="H78" s="128"/>
      <c r="I78" s="128"/>
      <c r="J78" s="128"/>
    </row>
    <row r="79" spans="2:10" ht="14.4" customHeight="1" x14ac:dyDescent="0.3">
      <c r="B79" s="15"/>
      <c r="C79" s="16"/>
      <c r="D79" s="152" t="s">
        <v>6</v>
      </c>
      <c r="E79" s="153"/>
      <c r="F79" s="153"/>
      <c r="G79" s="154"/>
      <c r="H79" s="155" t="s">
        <v>7</v>
      </c>
      <c r="I79" s="156"/>
      <c r="J79" s="4"/>
    </row>
    <row r="80" spans="2:10" x14ac:dyDescent="0.3">
      <c r="B80" s="13"/>
      <c r="C80" s="14"/>
      <c r="D80" s="159" t="s">
        <v>9</v>
      </c>
      <c r="E80" s="160"/>
      <c r="F80" s="160"/>
      <c r="G80" s="161"/>
      <c r="H80" s="157"/>
      <c r="I80" s="158"/>
      <c r="J80" s="4"/>
    </row>
    <row r="81" spans="2:10" ht="14.4" customHeight="1" x14ac:dyDescent="0.3">
      <c r="B81" s="132" t="s">
        <v>10</v>
      </c>
      <c r="C81" s="134" t="s">
        <v>11</v>
      </c>
      <c r="D81" s="19" t="s">
        <v>12</v>
      </c>
      <c r="E81" s="19" t="s">
        <v>13</v>
      </c>
      <c r="F81" s="19" t="s">
        <v>14</v>
      </c>
      <c r="G81" s="19" t="s">
        <v>15</v>
      </c>
      <c r="H81" s="162" t="s">
        <v>16</v>
      </c>
      <c r="I81" s="134" t="s">
        <v>17</v>
      </c>
      <c r="J81" s="20"/>
    </row>
    <row r="82" spans="2:10" ht="37.65" customHeight="1" x14ac:dyDescent="0.3">
      <c r="B82" s="133"/>
      <c r="C82" s="135"/>
      <c r="D82" s="164" t="s">
        <v>20</v>
      </c>
      <c r="E82" s="165"/>
      <c r="F82" s="165"/>
      <c r="G82" s="166"/>
      <c r="H82" s="163"/>
      <c r="I82" s="135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e">
        <f t="shared" ref="H83:H87" si="9">((G83-I83)/I83)*100</f>
        <v>#DIV/0!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0</v>
      </c>
      <c r="E84" s="26">
        <v>0</v>
      </c>
      <c r="F84" s="49">
        <f>+E84+D84</f>
        <v>0</v>
      </c>
      <c r="G84" s="26">
        <f>+G83+F84</f>
        <v>0</v>
      </c>
      <c r="H84" s="50" t="e">
        <f t="shared" si="9"/>
        <v>#DIV/0!</v>
      </c>
      <c r="I84" s="26">
        <v>0</v>
      </c>
      <c r="J84" s="22"/>
    </row>
    <row r="85" spans="2:10" x14ac:dyDescent="0.3">
      <c r="B85" s="42">
        <v>6</v>
      </c>
      <c r="C85" s="40" t="s">
        <v>23</v>
      </c>
      <c r="D85" s="26">
        <v>0</v>
      </c>
      <c r="E85" s="26">
        <v>0</v>
      </c>
      <c r="F85" s="49">
        <f>+E85+D85</f>
        <v>0</v>
      </c>
      <c r="G85" s="26">
        <f t="shared" ref="G85" si="10">+G84+F85</f>
        <v>0</v>
      </c>
      <c r="H85" s="50" t="e">
        <f t="shared" si="9"/>
        <v>#DIV/0!</v>
      </c>
      <c r="I85" s="26">
        <v>0</v>
      </c>
      <c r="J85" s="22"/>
    </row>
    <row r="86" spans="2:10" x14ac:dyDescent="0.3">
      <c r="B86" s="42">
        <v>7</v>
      </c>
      <c r="C86" s="40" t="s">
        <v>24</v>
      </c>
      <c r="D86" s="26">
        <v>0</v>
      </c>
      <c r="E86" s="26">
        <v>0</v>
      </c>
      <c r="F86" s="49">
        <f t="shared" ref="F86:F105" si="11">+E86+D86</f>
        <v>0</v>
      </c>
      <c r="G86" s="26">
        <f>+G85+F86</f>
        <v>0</v>
      </c>
      <c r="H86" s="50" t="e">
        <f t="shared" si="9"/>
        <v>#DIV/0!</v>
      </c>
      <c r="I86" s="26">
        <v>0</v>
      </c>
      <c r="J86" s="22"/>
    </row>
    <row r="87" spans="2:10" x14ac:dyDescent="0.3">
      <c r="B87" s="42">
        <v>8</v>
      </c>
      <c r="C87" s="40" t="s">
        <v>25</v>
      </c>
      <c r="D87" s="26">
        <v>0</v>
      </c>
      <c r="E87" s="26">
        <v>0</v>
      </c>
      <c r="F87" s="49">
        <f t="shared" si="11"/>
        <v>0</v>
      </c>
      <c r="G87" s="26">
        <f t="shared" ref="G87:G89" si="12">+G86+F87</f>
        <v>0</v>
      </c>
      <c r="H87" s="50" t="e">
        <f t="shared" si="9"/>
        <v>#DIV/0!</v>
      </c>
      <c r="I87" s="26">
        <v>0</v>
      </c>
      <c r="J87" s="22"/>
    </row>
    <row r="88" spans="2:10" x14ac:dyDescent="0.3">
      <c r="B88" s="42">
        <v>9</v>
      </c>
      <c r="C88" s="40" t="s">
        <v>26</v>
      </c>
      <c r="D88" s="26">
        <v>0</v>
      </c>
      <c r="E88" s="26">
        <v>0</v>
      </c>
      <c r="F88" s="49">
        <f t="shared" si="11"/>
        <v>0</v>
      </c>
      <c r="G88" s="26">
        <f t="shared" si="12"/>
        <v>0</v>
      </c>
      <c r="H88" s="12" t="e">
        <f>+H87</f>
        <v>#DIV/0!</v>
      </c>
      <c r="I88" s="26">
        <v>0</v>
      </c>
      <c r="J88" s="22"/>
    </row>
    <row r="89" spans="2:10" x14ac:dyDescent="0.3">
      <c r="B89" s="42">
        <v>10</v>
      </c>
      <c r="C89" s="40" t="s">
        <v>67</v>
      </c>
      <c r="D89" s="26">
        <v>0</v>
      </c>
      <c r="E89" s="26">
        <v>0</v>
      </c>
      <c r="F89" s="49">
        <f t="shared" si="11"/>
        <v>0</v>
      </c>
      <c r="G89" s="26">
        <f t="shared" si="12"/>
        <v>0</v>
      </c>
      <c r="H89" s="12" t="e">
        <f>+H88</f>
        <v>#DIV/0!</v>
      </c>
      <c r="I89" s="26">
        <v>0</v>
      </c>
      <c r="J89" s="22"/>
    </row>
    <row r="90" spans="2:10" x14ac:dyDescent="0.3">
      <c r="B90" s="42">
        <v>11</v>
      </c>
      <c r="C90" s="40" t="s">
        <v>68</v>
      </c>
      <c r="D90" s="26">
        <v>0</v>
      </c>
      <c r="E90" s="26">
        <v>0</v>
      </c>
      <c r="F90" s="49">
        <f t="shared" si="11"/>
        <v>0</v>
      </c>
      <c r="G90" s="26">
        <f>+G89+F90</f>
        <v>0</v>
      </c>
      <c r="H90" s="12" t="e">
        <f>+H89</f>
        <v>#DIV/0!</v>
      </c>
      <c r="I90" s="26">
        <v>0</v>
      </c>
      <c r="J90" s="22"/>
    </row>
    <row r="91" spans="2:10" x14ac:dyDescent="0.3">
      <c r="B91" s="42">
        <v>12</v>
      </c>
      <c r="C91" s="40" t="s">
        <v>83</v>
      </c>
      <c r="D91" s="26">
        <v>0</v>
      </c>
      <c r="E91" s="26">
        <v>0</v>
      </c>
      <c r="F91" s="49">
        <f t="shared" si="11"/>
        <v>0</v>
      </c>
      <c r="G91" s="26">
        <f t="shared" ref="G91:G94" si="13">+G90+F91</f>
        <v>0</v>
      </c>
      <c r="H91" s="12" t="e">
        <f>+H90</f>
        <v>#DIV/0!</v>
      </c>
      <c r="I91" s="26">
        <v>0</v>
      </c>
      <c r="J91" s="22"/>
    </row>
    <row r="92" spans="2:10" x14ac:dyDescent="0.3">
      <c r="B92" s="42">
        <v>13</v>
      </c>
      <c r="C92" s="40" t="s">
        <v>69</v>
      </c>
      <c r="D92" s="26">
        <v>2064</v>
      </c>
      <c r="E92" s="26">
        <v>0</v>
      </c>
      <c r="F92" s="49">
        <f t="shared" si="11"/>
        <v>2064</v>
      </c>
      <c r="G92" s="26">
        <f t="shared" si="13"/>
        <v>2064</v>
      </c>
      <c r="H92" s="12" t="e">
        <f>+H91</f>
        <v>#DIV/0!</v>
      </c>
      <c r="I92" s="26">
        <v>0</v>
      </c>
      <c r="J92" s="22"/>
    </row>
    <row r="93" spans="2:10" x14ac:dyDescent="0.3">
      <c r="B93" s="42">
        <v>13</v>
      </c>
      <c r="C93" s="40" t="s">
        <v>69</v>
      </c>
      <c r="D93" s="26">
        <v>2064</v>
      </c>
      <c r="E93" s="26">
        <v>0</v>
      </c>
      <c r="F93" s="49">
        <f t="shared" si="11"/>
        <v>2064</v>
      </c>
      <c r="G93" s="26">
        <f t="shared" si="13"/>
        <v>4128</v>
      </c>
      <c r="H93" s="12" t="e">
        <f t="shared" ref="H93:H94" si="14">+H92</f>
        <v>#DIV/0!</v>
      </c>
      <c r="I93" s="26">
        <v>0</v>
      </c>
      <c r="J93" s="22"/>
    </row>
    <row r="94" spans="2:10" x14ac:dyDescent="0.3">
      <c r="B94" s="42">
        <v>14</v>
      </c>
      <c r="C94" s="86" t="s">
        <v>70</v>
      </c>
      <c r="D94" s="26">
        <v>1739</v>
      </c>
      <c r="E94" s="26">
        <v>0</v>
      </c>
      <c r="F94" s="49">
        <f t="shared" si="11"/>
        <v>1739</v>
      </c>
      <c r="G94" s="26">
        <f t="shared" si="13"/>
        <v>5867</v>
      </c>
      <c r="H94" s="12" t="e">
        <f t="shared" si="14"/>
        <v>#DIV/0!</v>
      </c>
      <c r="I94" s="26">
        <v>0</v>
      </c>
      <c r="J94" s="22"/>
    </row>
    <row r="95" spans="2:10" hidden="1" x14ac:dyDescent="0.3">
      <c r="B95" s="11">
        <v>16</v>
      </c>
      <c r="C95" s="17" t="s">
        <v>28</v>
      </c>
      <c r="D95" s="24"/>
      <c r="E95" s="24"/>
      <c r="F95" s="25">
        <f t="shared" si="11"/>
        <v>0</v>
      </c>
      <c r="G95" s="24">
        <f t="shared" ref="G95:G105" si="15">+G94+F95</f>
        <v>5867</v>
      </c>
      <c r="H95" s="12">
        <v>0</v>
      </c>
      <c r="I95" s="26">
        <v>0</v>
      </c>
      <c r="J95" s="22"/>
    </row>
    <row r="96" spans="2:10" hidden="1" x14ac:dyDescent="0.3">
      <c r="B96" s="11">
        <v>17</v>
      </c>
      <c r="C96" s="17" t="s">
        <v>29</v>
      </c>
      <c r="D96" s="24"/>
      <c r="E96" s="24"/>
      <c r="F96" s="25">
        <f t="shared" si="11"/>
        <v>0</v>
      </c>
      <c r="G96" s="24">
        <f t="shared" si="15"/>
        <v>5867</v>
      </c>
      <c r="H96" s="12">
        <v>0</v>
      </c>
      <c r="I96" s="26">
        <v>0</v>
      </c>
      <c r="J96" s="22"/>
    </row>
    <row r="97" spans="2:10" hidden="1" x14ac:dyDescent="0.3">
      <c r="B97" s="11">
        <v>18</v>
      </c>
      <c r="C97" s="17" t="s">
        <v>30</v>
      </c>
      <c r="D97" s="24"/>
      <c r="E97" s="24"/>
      <c r="F97" s="25">
        <f t="shared" si="11"/>
        <v>0</v>
      </c>
      <c r="G97" s="24">
        <f t="shared" si="15"/>
        <v>5867</v>
      </c>
      <c r="H97" s="12">
        <v>0</v>
      </c>
      <c r="I97" s="26">
        <v>0</v>
      </c>
      <c r="J97" s="22"/>
    </row>
    <row r="98" spans="2:10" hidden="1" x14ac:dyDescent="0.3">
      <c r="B98" s="11">
        <v>19</v>
      </c>
      <c r="C98" s="17" t="s">
        <v>31</v>
      </c>
      <c r="D98" s="24"/>
      <c r="E98" s="24"/>
      <c r="F98" s="25">
        <f t="shared" si="11"/>
        <v>0</v>
      </c>
      <c r="G98" s="24">
        <f t="shared" si="15"/>
        <v>5867</v>
      </c>
      <c r="H98" s="12">
        <v>0</v>
      </c>
      <c r="I98" s="26">
        <v>0</v>
      </c>
      <c r="J98" s="22"/>
    </row>
    <row r="99" spans="2:10" hidden="1" x14ac:dyDescent="0.3">
      <c r="B99" s="11">
        <v>20</v>
      </c>
      <c r="C99" s="17" t="s">
        <v>32</v>
      </c>
      <c r="D99" s="24"/>
      <c r="E99" s="24"/>
      <c r="F99" s="25">
        <f t="shared" si="11"/>
        <v>0</v>
      </c>
      <c r="G99" s="24">
        <f t="shared" si="15"/>
        <v>5867</v>
      </c>
      <c r="H99" s="12">
        <v>0</v>
      </c>
      <c r="I99" s="26">
        <v>0</v>
      </c>
      <c r="J99" s="22"/>
    </row>
    <row r="100" spans="2:10" hidden="1" x14ac:dyDescent="0.3">
      <c r="B100" s="11">
        <v>21</v>
      </c>
      <c r="C100" s="17" t="s">
        <v>33</v>
      </c>
      <c r="D100" s="24"/>
      <c r="E100" s="24"/>
      <c r="F100" s="25">
        <f t="shared" si="11"/>
        <v>0</v>
      </c>
      <c r="G100" s="24">
        <f t="shared" si="15"/>
        <v>5867</v>
      </c>
      <c r="H100" s="12">
        <v>0</v>
      </c>
      <c r="I100" s="26">
        <v>0</v>
      </c>
      <c r="J100" s="22"/>
    </row>
    <row r="101" spans="2:10" hidden="1" x14ac:dyDescent="0.3">
      <c r="B101" s="11">
        <v>22</v>
      </c>
      <c r="C101" s="17" t="s">
        <v>34</v>
      </c>
      <c r="D101" s="24"/>
      <c r="E101" s="24"/>
      <c r="F101" s="25">
        <f t="shared" si="11"/>
        <v>0</v>
      </c>
      <c r="G101" s="24">
        <f t="shared" si="15"/>
        <v>5867</v>
      </c>
      <c r="H101" s="12">
        <v>0</v>
      </c>
      <c r="I101" s="26">
        <v>0</v>
      </c>
      <c r="J101" s="22"/>
    </row>
    <row r="102" spans="2:10" hidden="1" x14ac:dyDescent="0.3">
      <c r="B102" s="11">
        <v>23</v>
      </c>
      <c r="C102" s="17" t="s">
        <v>35</v>
      </c>
      <c r="D102" s="24"/>
      <c r="E102" s="24"/>
      <c r="F102" s="25">
        <f t="shared" si="11"/>
        <v>0</v>
      </c>
      <c r="G102" s="24">
        <f t="shared" si="15"/>
        <v>5867</v>
      </c>
      <c r="H102" s="12">
        <v>0</v>
      </c>
      <c r="I102" s="26">
        <v>0</v>
      </c>
      <c r="J102" s="22"/>
    </row>
    <row r="103" spans="2:10" hidden="1" x14ac:dyDescent="0.3">
      <c r="B103" s="11">
        <v>24</v>
      </c>
      <c r="C103" s="17" t="s">
        <v>36</v>
      </c>
      <c r="D103" s="24"/>
      <c r="E103" s="24"/>
      <c r="F103" s="25">
        <f t="shared" si="11"/>
        <v>0</v>
      </c>
      <c r="G103" s="24">
        <f t="shared" si="15"/>
        <v>5867</v>
      </c>
      <c r="H103" s="12">
        <v>0</v>
      </c>
      <c r="I103" s="26">
        <v>0</v>
      </c>
      <c r="J103" s="22"/>
    </row>
    <row r="104" spans="2:10" hidden="1" x14ac:dyDescent="0.3">
      <c r="B104" s="11">
        <v>25</v>
      </c>
      <c r="C104" s="18" t="s">
        <v>37</v>
      </c>
      <c r="D104" s="24"/>
      <c r="E104" s="24"/>
      <c r="F104" s="25">
        <f t="shared" si="11"/>
        <v>0</v>
      </c>
      <c r="G104" s="24">
        <f t="shared" si="15"/>
        <v>5867</v>
      </c>
      <c r="H104" s="12">
        <v>0</v>
      </c>
      <c r="I104" s="26">
        <v>0</v>
      </c>
      <c r="J104" s="22"/>
    </row>
    <row r="105" spans="2:10" hidden="1" x14ac:dyDescent="0.3">
      <c r="B105" s="28">
        <v>26</v>
      </c>
      <c r="C105" s="29" t="s">
        <v>38</v>
      </c>
      <c r="D105" s="30"/>
      <c r="E105" s="30"/>
      <c r="F105" s="31">
        <f t="shared" si="11"/>
        <v>0</v>
      </c>
      <c r="G105" s="30">
        <f t="shared" si="15"/>
        <v>5867</v>
      </c>
      <c r="H105" s="32">
        <v>0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39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40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41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42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171" t="s">
        <v>46</v>
      </c>
      <c r="E113" s="171"/>
      <c r="F113" s="171"/>
      <c r="G113" s="171"/>
      <c r="H113" s="171"/>
      <c r="I113" s="171"/>
      <c r="J113" s="10"/>
    </row>
    <row r="114" spans="2:10" s="37" customFormat="1" ht="15.6" x14ac:dyDescent="0.3">
      <c r="B114" s="27"/>
      <c r="C114" s="27"/>
      <c r="D114" s="172" t="s">
        <v>51</v>
      </c>
      <c r="E114" s="172"/>
      <c r="F114" s="172"/>
      <c r="G114" s="172"/>
      <c r="H114" s="172"/>
      <c r="I114" s="172"/>
      <c r="J114" s="27"/>
    </row>
    <row r="115" spans="2:10" ht="15.9" customHeight="1" x14ac:dyDescent="0.3">
      <c r="B115" s="128" t="s">
        <v>84</v>
      </c>
      <c r="C115" s="128"/>
      <c r="D115" s="128"/>
      <c r="E115" s="128"/>
      <c r="F115" s="128"/>
      <c r="G115" s="128"/>
      <c r="H115" s="128"/>
      <c r="I115" s="128"/>
      <c r="J115" s="128"/>
    </row>
    <row r="116" spans="2:10" ht="14.4" customHeight="1" x14ac:dyDescent="0.3">
      <c r="B116" s="15"/>
      <c r="C116" s="16"/>
      <c r="D116" s="152" t="s">
        <v>6</v>
      </c>
      <c r="E116" s="153"/>
      <c r="F116" s="153"/>
      <c r="G116" s="154"/>
      <c r="H116" s="155" t="s">
        <v>7</v>
      </c>
      <c r="I116" s="156"/>
      <c r="J116" s="4"/>
    </row>
    <row r="117" spans="2:10" x14ac:dyDescent="0.3">
      <c r="B117" s="13"/>
      <c r="C117" s="14"/>
      <c r="D117" s="159" t="s">
        <v>9</v>
      </c>
      <c r="E117" s="160"/>
      <c r="F117" s="160"/>
      <c r="G117" s="161"/>
      <c r="H117" s="157"/>
      <c r="I117" s="158"/>
      <c r="J117" s="4"/>
    </row>
    <row r="118" spans="2:10" ht="14.4" customHeight="1" x14ac:dyDescent="0.3">
      <c r="B118" s="132" t="s">
        <v>10</v>
      </c>
      <c r="C118" s="134" t="s">
        <v>11</v>
      </c>
      <c r="D118" s="19" t="s">
        <v>12</v>
      </c>
      <c r="E118" s="19" t="s">
        <v>13</v>
      </c>
      <c r="F118" s="19" t="s">
        <v>14</v>
      </c>
      <c r="G118" s="19" t="s">
        <v>15</v>
      </c>
      <c r="H118" s="162" t="s">
        <v>16</v>
      </c>
      <c r="I118" s="134" t="s">
        <v>17</v>
      </c>
      <c r="J118" s="20"/>
    </row>
    <row r="119" spans="2:10" ht="39" customHeight="1" x14ac:dyDescent="0.3">
      <c r="B119" s="133"/>
      <c r="C119" s="135"/>
      <c r="D119" s="164" t="s">
        <v>20</v>
      </c>
      <c r="E119" s="165"/>
      <c r="F119" s="165"/>
      <c r="G119" s="166"/>
      <c r="H119" s="163"/>
      <c r="I119" s="135"/>
      <c r="J119" s="20"/>
    </row>
    <row r="120" spans="2:10" x14ac:dyDescent="0.3">
      <c r="B120" s="42">
        <v>4</v>
      </c>
      <c r="C120" s="40" t="s">
        <v>21</v>
      </c>
      <c r="D120" s="21">
        <v>31342.01</v>
      </c>
      <c r="E120" s="21">
        <v>0</v>
      </c>
      <c r="F120" s="45">
        <f>+D120+E120</f>
        <v>31342.01</v>
      </c>
      <c r="G120" s="21">
        <f>+F120</f>
        <v>31342.01</v>
      </c>
      <c r="H120" s="46" t="e">
        <f t="shared" ref="H120:H126" si="16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63398.03</v>
      </c>
      <c r="E121" s="26">
        <v>0</v>
      </c>
      <c r="F121" s="49">
        <f>+E121+D121</f>
        <v>63398.03</v>
      </c>
      <c r="G121" s="26">
        <f>+G120+F121</f>
        <v>94740.04</v>
      </c>
      <c r="H121" s="50">
        <f t="shared" si="16"/>
        <v>-29.5186004902599</v>
      </c>
      <c r="I121" s="26">
        <v>134418.5</v>
      </c>
      <c r="J121" s="22"/>
    </row>
    <row r="122" spans="2:10" x14ac:dyDescent="0.3">
      <c r="B122" s="42">
        <v>6</v>
      </c>
      <c r="C122" s="40" t="s">
        <v>23</v>
      </c>
      <c r="D122" s="26">
        <v>100463.52</v>
      </c>
      <c r="E122" s="26">
        <v>0</v>
      </c>
      <c r="F122" s="49">
        <f>+E122+D122</f>
        <v>100463.52</v>
      </c>
      <c r="G122" s="26">
        <f t="shared" ref="G122" si="17">+G121+F122</f>
        <v>195203.56</v>
      </c>
      <c r="H122" s="50">
        <f t="shared" si="16"/>
        <v>6.1006950066673173</v>
      </c>
      <c r="I122" s="26">
        <f>+I121+49561.03</f>
        <v>183979.53</v>
      </c>
      <c r="J122" s="22"/>
    </row>
    <row r="123" spans="2:10" x14ac:dyDescent="0.3">
      <c r="B123" s="42">
        <v>7</v>
      </c>
      <c r="C123" s="40" t="s">
        <v>24</v>
      </c>
      <c r="D123" s="26">
        <v>126018.58</v>
      </c>
      <c r="E123" s="26">
        <v>0</v>
      </c>
      <c r="F123" s="49">
        <f t="shared" ref="F123:F142" si="18">+E123+D123</f>
        <v>126018.58</v>
      </c>
      <c r="G123" s="26">
        <f>+G122+F123</f>
        <v>321222.14</v>
      </c>
      <c r="H123" s="50">
        <f t="shared" si="16"/>
        <v>23.663724992063674</v>
      </c>
      <c r="I123" s="26">
        <f>+I122+75775.01</f>
        <v>259754.53999999998</v>
      </c>
      <c r="J123" s="22"/>
    </row>
    <row r="124" spans="2:10" x14ac:dyDescent="0.3">
      <c r="B124" s="42">
        <v>8</v>
      </c>
      <c r="C124" s="40" t="s">
        <v>25</v>
      </c>
      <c r="D124" s="26">
        <v>75478.509999999995</v>
      </c>
      <c r="E124" s="26">
        <v>0</v>
      </c>
      <c r="F124" s="49">
        <f t="shared" si="18"/>
        <v>75478.509999999995</v>
      </c>
      <c r="G124" s="26">
        <f t="shared" ref="G124:G130" si="19">+G123+F124</f>
        <v>396700.65</v>
      </c>
      <c r="H124" s="50">
        <f t="shared" si="16"/>
        <v>10.344795070691626</v>
      </c>
      <c r="I124" s="26">
        <v>359510.07</v>
      </c>
      <c r="J124" s="22"/>
    </row>
    <row r="125" spans="2:10" x14ac:dyDescent="0.3">
      <c r="B125" s="42">
        <v>9</v>
      </c>
      <c r="C125" s="40" t="s">
        <v>26</v>
      </c>
      <c r="D125" s="26">
        <v>122822.01</v>
      </c>
      <c r="E125" s="26">
        <v>0</v>
      </c>
      <c r="F125" s="49">
        <f t="shared" si="18"/>
        <v>122822.01</v>
      </c>
      <c r="G125" s="26">
        <f t="shared" si="19"/>
        <v>519522.66000000003</v>
      </c>
      <c r="H125" s="50">
        <f t="shared" si="16"/>
        <v>14.723010557346896</v>
      </c>
      <c r="I125" s="26">
        <f>+I124+93339.5</f>
        <v>452849.57</v>
      </c>
      <c r="J125" s="22"/>
    </row>
    <row r="126" spans="2:10" x14ac:dyDescent="0.3">
      <c r="B126" s="42">
        <v>10</v>
      </c>
      <c r="C126" s="40" t="s">
        <v>67</v>
      </c>
      <c r="D126" s="26">
        <v>28329</v>
      </c>
      <c r="E126" s="26">
        <v>0</v>
      </c>
      <c r="F126" s="49">
        <f t="shared" si="18"/>
        <v>28329</v>
      </c>
      <c r="G126" s="26">
        <f t="shared" si="19"/>
        <v>547851.66</v>
      </c>
      <c r="H126" s="50">
        <f t="shared" si="16"/>
        <v>-2.3625413193576117</v>
      </c>
      <c r="I126" s="26">
        <f>+I125+108258.5</f>
        <v>561108.07000000007</v>
      </c>
      <c r="J126" s="22"/>
    </row>
    <row r="127" spans="2:10" x14ac:dyDescent="0.3">
      <c r="B127" s="42">
        <v>11</v>
      </c>
      <c r="C127" s="40" t="s">
        <v>68</v>
      </c>
      <c r="D127" s="26">
        <v>97574.52</v>
      </c>
      <c r="E127" s="26">
        <v>0</v>
      </c>
      <c r="F127" s="49">
        <f t="shared" si="18"/>
        <v>97574.52</v>
      </c>
      <c r="G127" s="26">
        <f t="shared" si="19"/>
        <v>645426.18000000005</v>
      </c>
      <c r="H127" s="50">
        <f>((G127-I127)/I127)*100</f>
        <v>13.328481394804554</v>
      </c>
      <c r="I127" s="26">
        <f>+I126+8410</f>
        <v>569518.07000000007</v>
      </c>
      <c r="J127" s="22"/>
    </row>
    <row r="128" spans="2:10" x14ac:dyDescent="0.3">
      <c r="B128" s="42">
        <v>12</v>
      </c>
      <c r="C128" s="40" t="s">
        <v>83</v>
      </c>
      <c r="D128" s="26">
        <v>3777.51</v>
      </c>
      <c r="E128" s="26">
        <v>0</v>
      </c>
      <c r="F128" s="49">
        <f t="shared" si="18"/>
        <v>3777.51</v>
      </c>
      <c r="G128" s="26">
        <f t="shared" si="19"/>
        <v>649203.69000000006</v>
      </c>
      <c r="H128" s="50">
        <f>((G128-I128)/I128)*100</f>
        <v>12.570397063462169</v>
      </c>
      <c r="I128" s="26">
        <f>+I127+7191</f>
        <v>576709.07000000007</v>
      </c>
      <c r="J128" s="22"/>
    </row>
    <row r="129" spans="2:10" x14ac:dyDescent="0.3">
      <c r="B129" s="42">
        <v>13</v>
      </c>
      <c r="C129" s="40" t="s">
        <v>69</v>
      </c>
      <c r="D129" s="26">
        <v>0</v>
      </c>
      <c r="E129" s="26">
        <v>0</v>
      </c>
      <c r="F129" s="49">
        <f t="shared" si="18"/>
        <v>0</v>
      </c>
      <c r="G129" s="26">
        <f t="shared" si="19"/>
        <v>649203.69000000006</v>
      </c>
      <c r="H129" s="50">
        <f>((G129-I129)/I129)*100</f>
        <v>12.570397063462192</v>
      </c>
      <c r="I129" s="26">
        <v>576709.06999999995</v>
      </c>
      <c r="J129" s="22"/>
    </row>
    <row r="130" spans="2:10" x14ac:dyDescent="0.3">
      <c r="B130" s="42">
        <v>14</v>
      </c>
      <c r="C130" s="86" t="s">
        <v>70</v>
      </c>
      <c r="D130" s="26">
        <v>6085</v>
      </c>
      <c r="E130" s="26">
        <v>0</v>
      </c>
      <c r="F130" s="49">
        <f t="shared" si="18"/>
        <v>6085</v>
      </c>
      <c r="G130" s="26">
        <f t="shared" si="19"/>
        <v>655288.69000000006</v>
      </c>
      <c r="H130" s="50">
        <f>((G130-I130)/I130)*100</f>
        <v>13.625521790389064</v>
      </c>
      <c r="I130" s="26">
        <f>+I129+0</f>
        <v>576709.06999999995</v>
      </c>
      <c r="J130" s="22"/>
    </row>
    <row r="131" spans="2:10" hidden="1" x14ac:dyDescent="0.3">
      <c r="B131" s="11">
        <v>15</v>
      </c>
      <c r="C131" s="17" t="s">
        <v>27</v>
      </c>
      <c r="D131" s="24"/>
      <c r="E131" s="24"/>
      <c r="F131" s="25">
        <f t="shared" si="18"/>
        <v>0</v>
      </c>
      <c r="G131" s="24">
        <f t="shared" ref="G131:G142" si="20">+G130+F131</f>
        <v>655288.69000000006</v>
      </c>
      <c r="H131" s="12">
        <v>0</v>
      </c>
      <c r="I131" s="26">
        <v>0</v>
      </c>
      <c r="J131" s="22"/>
    </row>
    <row r="132" spans="2:10" hidden="1" x14ac:dyDescent="0.3">
      <c r="B132" s="11">
        <v>16</v>
      </c>
      <c r="C132" s="17" t="s">
        <v>28</v>
      </c>
      <c r="D132" s="24"/>
      <c r="E132" s="24"/>
      <c r="F132" s="25">
        <f t="shared" si="18"/>
        <v>0</v>
      </c>
      <c r="G132" s="24">
        <f t="shared" si="20"/>
        <v>655288.69000000006</v>
      </c>
      <c r="H132" s="12">
        <v>0</v>
      </c>
      <c r="I132" s="26">
        <v>0</v>
      </c>
      <c r="J132" s="22"/>
    </row>
    <row r="133" spans="2:10" hidden="1" x14ac:dyDescent="0.3">
      <c r="B133" s="11">
        <v>17</v>
      </c>
      <c r="C133" s="17" t="s">
        <v>29</v>
      </c>
      <c r="D133" s="24"/>
      <c r="E133" s="24"/>
      <c r="F133" s="25">
        <f t="shared" si="18"/>
        <v>0</v>
      </c>
      <c r="G133" s="24">
        <f t="shared" si="20"/>
        <v>655288.69000000006</v>
      </c>
      <c r="H133" s="12">
        <v>0</v>
      </c>
      <c r="I133" s="26">
        <v>0</v>
      </c>
      <c r="J133" s="22"/>
    </row>
    <row r="134" spans="2:10" hidden="1" x14ac:dyDescent="0.3">
      <c r="B134" s="11">
        <v>18</v>
      </c>
      <c r="C134" s="17" t="s">
        <v>30</v>
      </c>
      <c r="D134" s="24"/>
      <c r="E134" s="24"/>
      <c r="F134" s="25">
        <f t="shared" si="18"/>
        <v>0</v>
      </c>
      <c r="G134" s="24">
        <f t="shared" si="20"/>
        <v>655288.69000000006</v>
      </c>
      <c r="H134" s="12">
        <v>0</v>
      </c>
      <c r="I134" s="26">
        <v>0</v>
      </c>
      <c r="J134" s="22"/>
    </row>
    <row r="135" spans="2:10" hidden="1" x14ac:dyDescent="0.3">
      <c r="B135" s="11">
        <v>19</v>
      </c>
      <c r="C135" s="17" t="s">
        <v>31</v>
      </c>
      <c r="D135" s="24"/>
      <c r="E135" s="24"/>
      <c r="F135" s="25">
        <f t="shared" si="18"/>
        <v>0</v>
      </c>
      <c r="G135" s="24">
        <f t="shared" si="20"/>
        <v>655288.69000000006</v>
      </c>
      <c r="H135" s="12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32</v>
      </c>
      <c r="D136" s="24"/>
      <c r="E136" s="24"/>
      <c r="F136" s="25">
        <f t="shared" si="18"/>
        <v>0</v>
      </c>
      <c r="G136" s="24">
        <f t="shared" si="20"/>
        <v>655288.69000000006</v>
      </c>
      <c r="H136" s="12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33</v>
      </c>
      <c r="D137" s="24"/>
      <c r="E137" s="24"/>
      <c r="F137" s="25">
        <f t="shared" si="18"/>
        <v>0</v>
      </c>
      <c r="G137" s="24">
        <f t="shared" si="20"/>
        <v>655288.69000000006</v>
      </c>
      <c r="H137" s="12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34</v>
      </c>
      <c r="D138" s="24"/>
      <c r="E138" s="24"/>
      <c r="F138" s="25">
        <f t="shared" si="18"/>
        <v>0</v>
      </c>
      <c r="G138" s="24">
        <f t="shared" si="20"/>
        <v>655288.69000000006</v>
      </c>
      <c r="H138" s="12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35</v>
      </c>
      <c r="D139" s="24"/>
      <c r="E139" s="24"/>
      <c r="F139" s="25">
        <f t="shared" si="18"/>
        <v>0</v>
      </c>
      <c r="G139" s="24">
        <f t="shared" si="20"/>
        <v>655288.69000000006</v>
      </c>
      <c r="H139" s="12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36</v>
      </c>
      <c r="D140" s="24"/>
      <c r="E140" s="24"/>
      <c r="F140" s="25">
        <f t="shared" si="18"/>
        <v>0</v>
      </c>
      <c r="G140" s="24">
        <f t="shared" si="20"/>
        <v>655288.69000000006</v>
      </c>
      <c r="H140" s="12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37</v>
      </c>
      <c r="D141" s="24"/>
      <c r="E141" s="24"/>
      <c r="F141" s="25">
        <f t="shared" si="18"/>
        <v>0</v>
      </c>
      <c r="G141" s="24">
        <f t="shared" si="20"/>
        <v>655288.69000000006</v>
      </c>
      <c r="H141" s="12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38</v>
      </c>
      <c r="D142" s="30"/>
      <c r="E142" s="30"/>
      <c r="F142" s="31">
        <f t="shared" si="18"/>
        <v>0</v>
      </c>
      <c r="G142" s="30">
        <f t="shared" si="20"/>
        <v>655288.69000000006</v>
      </c>
      <c r="H142" s="32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39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40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41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42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0317-8A38-49FD-9E0D-D296595EAB79}">
  <sheetPr codeName="Sheet8"/>
  <dimension ref="B3:L147"/>
  <sheetViews>
    <sheetView topLeftCell="A82" workbookViewId="0">
      <selection activeCell="G146" sqref="G146"/>
    </sheetView>
  </sheetViews>
  <sheetFormatPr defaultColWidth="9" defaultRowHeight="14.4" x14ac:dyDescent="0.3"/>
  <cols>
    <col min="1" max="1" width="2" style="3" customWidth="1"/>
    <col min="2" max="2" width="7.625" style="3" customWidth="1"/>
    <col min="3" max="3" width="25.625" style="3" customWidth="1"/>
    <col min="4" max="4" width="18.625" style="3" customWidth="1"/>
    <col min="5" max="5" width="13" style="3" customWidth="1"/>
    <col min="6" max="6" width="14.875" style="3" customWidth="1"/>
    <col min="7" max="7" width="14.625" style="3" customWidth="1"/>
    <col min="8" max="9" width="13" style="3" customWidth="1"/>
    <col min="10" max="16384" width="9" style="3"/>
  </cols>
  <sheetData>
    <row r="3" spans="2:12" s="34" customFormat="1" ht="18" x14ac:dyDescent="0.35">
      <c r="B3" s="35"/>
      <c r="C3" s="35"/>
      <c r="D3" s="151" t="s">
        <v>52</v>
      </c>
      <c r="E3" s="151"/>
      <c r="F3" s="151"/>
      <c r="G3" s="151"/>
      <c r="H3" s="151"/>
      <c r="I3" s="151"/>
      <c r="J3" s="35"/>
      <c r="K3" s="36"/>
      <c r="L3" s="2"/>
    </row>
    <row r="4" spans="2:12" ht="15.9" customHeight="1" x14ac:dyDescent="0.3">
      <c r="B4" s="128" t="s">
        <v>84</v>
      </c>
      <c r="C4" s="128"/>
      <c r="D4" s="128"/>
      <c r="E4" s="128"/>
      <c r="F4" s="128"/>
      <c r="G4" s="128"/>
      <c r="H4" s="128"/>
      <c r="I4" s="128"/>
      <c r="J4" s="128"/>
      <c r="K4" s="1"/>
      <c r="L4" s="2"/>
    </row>
    <row r="5" spans="2:12" ht="14.4" customHeight="1" x14ac:dyDescent="0.3">
      <c r="B5" s="15"/>
      <c r="C5" s="16"/>
      <c r="D5" s="152" t="s">
        <v>6</v>
      </c>
      <c r="E5" s="153"/>
      <c r="F5" s="153"/>
      <c r="G5" s="154"/>
      <c r="H5" s="155" t="s">
        <v>7</v>
      </c>
      <c r="I5" s="156"/>
      <c r="J5" s="4"/>
      <c r="K5" s="1"/>
      <c r="L5" s="2"/>
    </row>
    <row r="6" spans="2:12" x14ac:dyDescent="0.3">
      <c r="B6" s="13"/>
      <c r="C6" s="14"/>
      <c r="D6" s="159" t="s">
        <v>9</v>
      </c>
      <c r="E6" s="160"/>
      <c r="F6" s="160"/>
      <c r="G6" s="161"/>
      <c r="H6" s="157"/>
      <c r="I6" s="158"/>
      <c r="J6" s="4"/>
      <c r="K6" s="1"/>
      <c r="L6" s="2"/>
    </row>
    <row r="7" spans="2:12" ht="18.899999999999999" customHeight="1" x14ac:dyDescent="0.3">
      <c r="B7" s="132" t="s">
        <v>10</v>
      </c>
      <c r="C7" s="134" t="s">
        <v>11</v>
      </c>
      <c r="D7" s="19" t="s">
        <v>12</v>
      </c>
      <c r="E7" s="19" t="s">
        <v>13</v>
      </c>
      <c r="F7" s="19" t="s">
        <v>14</v>
      </c>
      <c r="G7" s="19" t="s">
        <v>15</v>
      </c>
      <c r="H7" s="162" t="s">
        <v>16</v>
      </c>
      <c r="I7" s="134" t="s">
        <v>17</v>
      </c>
      <c r="J7" s="20"/>
      <c r="K7" s="1"/>
      <c r="L7" s="2"/>
    </row>
    <row r="8" spans="2:12" ht="33" customHeight="1" x14ac:dyDescent="0.3">
      <c r="B8" s="133"/>
      <c r="C8" s="135"/>
      <c r="D8" s="164" t="s">
        <v>20</v>
      </c>
      <c r="E8" s="165"/>
      <c r="F8" s="165"/>
      <c r="G8" s="166"/>
      <c r="H8" s="163"/>
      <c r="I8" s="135"/>
      <c r="J8" s="20"/>
      <c r="K8" s="1"/>
    </row>
    <row r="9" spans="2:12" x14ac:dyDescent="0.3">
      <c r="B9" s="42">
        <v>4</v>
      </c>
      <c r="C9" s="40" t="s">
        <v>21</v>
      </c>
      <c r="D9" s="21">
        <v>0</v>
      </c>
      <c r="E9" s="21">
        <v>0</v>
      </c>
      <c r="F9" s="45">
        <f>+D9+E9</f>
        <v>0</v>
      </c>
      <c r="G9" s="21">
        <f>+F9</f>
        <v>0</v>
      </c>
      <c r="H9" s="50" t="e">
        <f t="shared" ref="H9" si="0">((G9-I9)/I9)*100</f>
        <v>#DIV/0!</v>
      </c>
      <c r="I9" s="21">
        <v>0</v>
      </c>
      <c r="J9" s="22"/>
      <c r="K9" s="1"/>
    </row>
    <row r="10" spans="2:12" x14ac:dyDescent="0.3">
      <c r="B10" s="42">
        <v>5</v>
      </c>
      <c r="C10" s="40" t="s">
        <v>22</v>
      </c>
      <c r="D10" s="26">
        <v>245586</v>
      </c>
      <c r="E10" s="26">
        <v>0</v>
      </c>
      <c r="F10" s="49">
        <f>+E10+D10</f>
        <v>245586</v>
      </c>
      <c r="G10" s="26">
        <f>+G9+F10</f>
        <v>245586</v>
      </c>
      <c r="H10" s="50">
        <f t="shared" ref="H10:H16" si="1">((G10-I10)/I10)*100</f>
        <v>381.03184863086142</v>
      </c>
      <c r="I10" s="26">
        <v>51054</v>
      </c>
      <c r="J10" s="22"/>
      <c r="K10" s="1"/>
    </row>
    <row r="11" spans="2:12" x14ac:dyDescent="0.3">
      <c r="B11" s="42">
        <v>6</v>
      </c>
      <c r="C11" s="40" t="s">
        <v>23</v>
      </c>
      <c r="D11" s="26">
        <v>312835.90000000002</v>
      </c>
      <c r="E11" s="26">
        <v>0</v>
      </c>
      <c r="F11" s="49">
        <f>+E11+D11</f>
        <v>312835.90000000002</v>
      </c>
      <c r="G11" s="26">
        <f t="shared" ref="G11:G31" si="2">+G10+F11</f>
        <v>558421.9</v>
      </c>
      <c r="H11" s="50">
        <f t="shared" si="1"/>
        <v>31.059264205255548</v>
      </c>
      <c r="I11" s="26">
        <f>+I10+375029.5</f>
        <v>426083.5</v>
      </c>
      <c r="J11" s="22"/>
      <c r="K11" s="1"/>
    </row>
    <row r="12" spans="2:12" x14ac:dyDescent="0.3">
      <c r="B12" s="42">
        <v>7</v>
      </c>
      <c r="C12" s="40" t="s">
        <v>24</v>
      </c>
      <c r="D12" s="26">
        <v>309034</v>
      </c>
      <c r="E12" s="26">
        <v>217067</v>
      </c>
      <c r="F12" s="49">
        <f t="shared" ref="F12:F31" si="3">+E12+D12</f>
        <v>526101</v>
      </c>
      <c r="G12" s="26">
        <f>+G11+F12</f>
        <v>1084522.8999999999</v>
      </c>
      <c r="H12" s="50">
        <f t="shared" si="1"/>
        <v>40.323195859615062</v>
      </c>
      <c r="I12" s="26">
        <f>+I11+346791.5</f>
        <v>772875</v>
      </c>
      <c r="J12" s="22"/>
      <c r="K12" s="1"/>
    </row>
    <row r="13" spans="2:12" x14ac:dyDescent="0.3">
      <c r="B13" s="42">
        <v>8</v>
      </c>
      <c r="C13" s="40" t="s">
        <v>25</v>
      </c>
      <c r="D13" s="26">
        <v>480779</v>
      </c>
      <c r="E13" s="26">
        <v>0</v>
      </c>
      <c r="F13" s="49">
        <f t="shared" si="3"/>
        <v>480779</v>
      </c>
      <c r="G13" s="26">
        <f t="shared" ref="G13:G19" si="4">+G12+F13</f>
        <v>1565301.9</v>
      </c>
      <c r="H13" s="50">
        <f t="shared" si="1"/>
        <v>16.74030701626814</v>
      </c>
      <c r="I13" s="26">
        <v>1340841</v>
      </c>
      <c r="J13" s="22"/>
      <c r="K13" s="1"/>
    </row>
    <row r="14" spans="2:12" x14ac:dyDescent="0.3">
      <c r="B14" s="42">
        <v>9</v>
      </c>
      <c r="C14" s="40" t="s">
        <v>26</v>
      </c>
      <c r="D14" s="26">
        <v>230527</v>
      </c>
      <c r="E14" s="26">
        <v>0</v>
      </c>
      <c r="F14" s="49">
        <f t="shared" si="3"/>
        <v>230527</v>
      </c>
      <c r="G14" s="26">
        <f t="shared" si="4"/>
        <v>1795828.9</v>
      </c>
      <c r="H14" s="50">
        <f t="shared" si="1"/>
        <v>12.294681564846659</v>
      </c>
      <c r="I14" s="26">
        <f>+I13+258370</f>
        <v>1599211</v>
      </c>
      <c r="J14" s="22"/>
      <c r="K14" s="1"/>
    </row>
    <row r="15" spans="2:12" x14ac:dyDescent="0.3">
      <c r="B15" s="42">
        <v>10</v>
      </c>
      <c r="C15" s="40" t="s">
        <v>67</v>
      </c>
      <c r="D15" s="26">
        <v>441354</v>
      </c>
      <c r="E15" s="26">
        <v>0</v>
      </c>
      <c r="F15" s="49">
        <f t="shared" si="3"/>
        <v>441354</v>
      </c>
      <c r="G15" s="26">
        <f t="shared" si="4"/>
        <v>2237182.9</v>
      </c>
      <c r="H15" s="50">
        <f t="shared" si="1"/>
        <v>2.8619870051378471</v>
      </c>
      <c r="I15" s="26">
        <f>+I14+575725.5</f>
        <v>2174936.5</v>
      </c>
      <c r="J15" s="22"/>
      <c r="K15" s="1"/>
    </row>
    <row r="16" spans="2:12" x14ac:dyDescent="0.3">
      <c r="B16" s="42">
        <v>11</v>
      </c>
      <c r="C16" s="40" t="s">
        <v>68</v>
      </c>
      <c r="D16" s="26">
        <v>400342.5</v>
      </c>
      <c r="E16" s="26">
        <v>0</v>
      </c>
      <c r="F16" s="49">
        <f t="shared" si="3"/>
        <v>400342.5</v>
      </c>
      <c r="G16" s="26">
        <f t="shared" si="4"/>
        <v>2637525.4</v>
      </c>
      <c r="H16" s="50">
        <f t="shared" si="1"/>
        <v>-5.7733194051861902</v>
      </c>
      <c r="I16" s="26">
        <f>+I15+624191.5</f>
        <v>2799128</v>
      </c>
      <c r="J16" s="22"/>
      <c r="K16" s="1"/>
    </row>
    <row r="17" spans="2:11" x14ac:dyDescent="0.3">
      <c r="B17" s="42">
        <v>12</v>
      </c>
      <c r="C17" s="40" t="s">
        <v>83</v>
      </c>
      <c r="D17" s="26">
        <v>272234</v>
      </c>
      <c r="E17" s="26">
        <v>0</v>
      </c>
      <c r="F17" s="49">
        <f t="shared" si="3"/>
        <v>272234</v>
      </c>
      <c r="G17" s="26">
        <f t="shared" si="4"/>
        <v>2909759.4</v>
      </c>
      <c r="H17" s="50">
        <f>((G17-I17)/I17)*100</f>
        <v>-10.438173606409713</v>
      </c>
      <c r="I17" s="26">
        <f>+I16+449755.5</f>
        <v>3248883.5</v>
      </c>
      <c r="J17" s="22"/>
      <c r="K17" s="1"/>
    </row>
    <row r="18" spans="2:11" x14ac:dyDescent="0.3">
      <c r="B18" s="42">
        <v>13</v>
      </c>
      <c r="C18" s="40" t="s">
        <v>69</v>
      </c>
      <c r="D18" s="26">
        <v>143143</v>
      </c>
      <c r="E18" s="26">
        <v>0</v>
      </c>
      <c r="F18" s="49">
        <f t="shared" si="3"/>
        <v>143143</v>
      </c>
      <c r="G18" s="26">
        <f t="shared" si="4"/>
        <v>3052902.3999999999</v>
      </c>
      <c r="H18" s="50">
        <f>((G18-I18)/I18)*100</f>
        <v>-13.49024601802963</v>
      </c>
      <c r="I18" s="26">
        <v>3528969</v>
      </c>
      <c r="J18" s="22"/>
      <c r="K18" s="1"/>
    </row>
    <row r="19" spans="2:11" x14ac:dyDescent="0.3">
      <c r="B19" s="42">
        <v>14</v>
      </c>
      <c r="C19" s="86" t="s">
        <v>70</v>
      </c>
      <c r="D19" s="26">
        <v>79621</v>
      </c>
      <c r="E19" s="26">
        <v>0</v>
      </c>
      <c r="F19" s="49">
        <f t="shared" si="3"/>
        <v>79621</v>
      </c>
      <c r="G19" s="26">
        <f t="shared" si="4"/>
        <v>3132523.4</v>
      </c>
      <c r="H19" s="50">
        <f>((G19-I19)/I19)*100</f>
        <v>-14.387309465358552</v>
      </c>
      <c r="I19" s="26">
        <f>+I18+129978.5</f>
        <v>3658947.5</v>
      </c>
      <c r="J19" s="22"/>
      <c r="K19" s="1"/>
    </row>
    <row r="20" spans="2:11" hidden="1" x14ac:dyDescent="0.3">
      <c r="B20" s="11">
        <v>15</v>
      </c>
      <c r="C20" s="17" t="s">
        <v>27</v>
      </c>
      <c r="D20" s="24"/>
      <c r="E20" s="24"/>
      <c r="F20" s="25">
        <f t="shared" si="3"/>
        <v>0</v>
      </c>
      <c r="G20" s="24">
        <f t="shared" si="2"/>
        <v>3132523.4</v>
      </c>
      <c r="H20" s="12">
        <v>0</v>
      </c>
      <c r="I20" s="26">
        <v>0</v>
      </c>
      <c r="J20" s="22"/>
      <c r="K20" s="1"/>
    </row>
    <row r="21" spans="2:11" hidden="1" x14ac:dyDescent="0.3">
      <c r="B21" s="11">
        <v>16</v>
      </c>
      <c r="C21" s="17" t="s">
        <v>28</v>
      </c>
      <c r="D21" s="24"/>
      <c r="E21" s="24"/>
      <c r="F21" s="25">
        <f t="shared" si="3"/>
        <v>0</v>
      </c>
      <c r="G21" s="24">
        <f t="shared" si="2"/>
        <v>3132523.4</v>
      </c>
      <c r="H21" s="12">
        <v>0</v>
      </c>
      <c r="I21" s="26">
        <v>0</v>
      </c>
      <c r="J21" s="22"/>
      <c r="K21" s="1"/>
    </row>
    <row r="22" spans="2:11" hidden="1" x14ac:dyDescent="0.3">
      <c r="B22" s="11">
        <v>17</v>
      </c>
      <c r="C22" s="17" t="s">
        <v>29</v>
      </c>
      <c r="D22" s="24"/>
      <c r="E22" s="24"/>
      <c r="F22" s="25">
        <f t="shared" si="3"/>
        <v>0</v>
      </c>
      <c r="G22" s="24">
        <f t="shared" si="2"/>
        <v>3132523.4</v>
      </c>
      <c r="H22" s="12">
        <v>0</v>
      </c>
      <c r="I22" s="26">
        <v>0</v>
      </c>
      <c r="J22" s="22"/>
      <c r="K22" s="1"/>
    </row>
    <row r="23" spans="2:11" hidden="1" x14ac:dyDescent="0.3">
      <c r="B23" s="11">
        <v>18</v>
      </c>
      <c r="C23" s="17" t="s">
        <v>30</v>
      </c>
      <c r="D23" s="24"/>
      <c r="E23" s="24"/>
      <c r="F23" s="25">
        <f t="shared" si="3"/>
        <v>0</v>
      </c>
      <c r="G23" s="24">
        <f t="shared" si="2"/>
        <v>3132523.4</v>
      </c>
      <c r="H23" s="12">
        <v>0</v>
      </c>
      <c r="I23" s="26">
        <v>0</v>
      </c>
      <c r="J23" s="22"/>
      <c r="K23" s="1"/>
    </row>
    <row r="24" spans="2:11" hidden="1" x14ac:dyDescent="0.3">
      <c r="B24" s="11">
        <v>19</v>
      </c>
      <c r="C24" s="17" t="s">
        <v>31</v>
      </c>
      <c r="D24" s="24"/>
      <c r="E24" s="24"/>
      <c r="F24" s="25">
        <f t="shared" si="3"/>
        <v>0</v>
      </c>
      <c r="G24" s="24">
        <f t="shared" si="2"/>
        <v>3132523.4</v>
      </c>
      <c r="H24" s="12">
        <v>0</v>
      </c>
      <c r="I24" s="26">
        <v>0</v>
      </c>
      <c r="J24" s="22"/>
      <c r="K24" s="1"/>
    </row>
    <row r="25" spans="2:11" hidden="1" x14ac:dyDescent="0.3">
      <c r="B25" s="11">
        <v>20</v>
      </c>
      <c r="C25" s="17" t="s">
        <v>32</v>
      </c>
      <c r="D25" s="24"/>
      <c r="E25" s="24"/>
      <c r="F25" s="25">
        <f t="shared" si="3"/>
        <v>0</v>
      </c>
      <c r="G25" s="24">
        <f t="shared" si="2"/>
        <v>3132523.4</v>
      </c>
      <c r="H25" s="12">
        <v>0</v>
      </c>
      <c r="I25" s="26">
        <v>0</v>
      </c>
      <c r="J25" s="22"/>
      <c r="K25" s="1"/>
    </row>
    <row r="26" spans="2:11" hidden="1" x14ac:dyDescent="0.3">
      <c r="B26" s="11">
        <v>21</v>
      </c>
      <c r="C26" s="17" t="s">
        <v>33</v>
      </c>
      <c r="D26" s="24"/>
      <c r="E26" s="24"/>
      <c r="F26" s="25">
        <f t="shared" si="3"/>
        <v>0</v>
      </c>
      <c r="G26" s="24">
        <f t="shared" si="2"/>
        <v>3132523.4</v>
      </c>
      <c r="H26" s="12">
        <v>0</v>
      </c>
      <c r="I26" s="26">
        <v>0</v>
      </c>
      <c r="J26" s="22"/>
      <c r="K26" s="1"/>
    </row>
    <row r="27" spans="2:11" hidden="1" x14ac:dyDescent="0.3">
      <c r="B27" s="11">
        <v>22</v>
      </c>
      <c r="C27" s="17" t="s">
        <v>34</v>
      </c>
      <c r="D27" s="24"/>
      <c r="E27" s="24"/>
      <c r="F27" s="25">
        <f t="shared" si="3"/>
        <v>0</v>
      </c>
      <c r="G27" s="24">
        <f t="shared" si="2"/>
        <v>3132523.4</v>
      </c>
      <c r="H27" s="12">
        <v>0</v>
      </c>
      <c r="I27" s="26">
        <v>0</v>
      </c>
      <c r="J27" s="22"/>
      <c r="K27" s="1"/>
    </row>
    <row r="28" spans="2:11" hidden="1" x14ac:dyDescent="0.3">
      <c r="B28" s="11">
        <v>23</v>
      </c>
      <c r="C28" s="17" t="s">
        <v>35</v>
      </c>
      <c r="D28" s="24"/>
      <c r="E28" s="24"/>
      <c r="F28" s="25">
        <f t="shared" si="3"/>
        <v>0</v>
      </c>
      <c r="G28" s="24">
        <f t="shared" si="2"/>
        <v>3132523.4</v>
      </c>
      <c r="H28" s="12">
        <v>0</v>
      </c>
      <c r="I28" s="26">
        <v>0</v>
      </c>
      <c r="J28" s="22"/>
      <c r="K28" s="1"/>
    </row>
    <row r="29" spans="2:11" hidden="1" x14ac:dyDescent="0.3">
      <c r="B29" s="11">
        <v>24</v>
      </c>
      <c r="C29" s="17" t="s">
        <v>36</v>
      </c>
      <c r="D29" s="24"/>
      <c r="E29" s="24"/>
      <c r="F29" s="25">
        <f t="shared" si="3"/>
        <v>0</v>
      </c>
      <c r="G29" s="24">
        <f t="shared" si="2"/>
        <v>3132523.4</v>
      </c>
      <c r="H29" s="12">
        <v>0</v>
      </c>
      <c r="I29" s="26">
        <v>0</v>
      </c>
      <c r="J29" s="22"/>
      <c r="K29" s="1"/>
    </row>
    <row r="30" spans="2:11" hidden="1" x14ac:dyDescent="0.3">
      <c r="B30" s="11">
        <v>25</v>
      </c>
      <c r="C30" s="18" t="s">
        <v>37</v>
      </c>
      <c r="D30" s="24"/>
      <c r="E30" s="24"/>
      <c r="F30" s="25">
        <f t="shared" si="3"/>
        <v>0</v>
      </c>
      <c r="G30" s="24">
        <f t="shared" si="2"/>
        <v>3132523.4</v>
      </c>
      <c r="H30" s="12">
        <v>0</v>
      </c>
      <c r="I30" s="26">
        <v>0</v>
      </c>
      <c r="J30" s="22"/>
      <c r="K30" s="1"/>
    </row>
    <row r="31" spans="2:11" hidden="1" x14ac:dyDescent="0.3">
      <c r="B31" s="28">
        <v>26</v>
      </c>
      <c r="C31" s="29" t="s">
        <v>38</v>
      </c>
      <c r="D31" s="30"/>
      <c r="E31" s="30"/>
      <c r="F31" s="31">
        <f t="shared" si="3"/>
        <v>0</v>
      </c>
      <c r="G31" s="30">
        <f t="shared" si="2"/>
        <v>3132523.4</v>
      </c>
      <c r="H31" s="32">
        <v>0</v>
      </c>
      <c r="I31" s="33">
        <v>0</v>
      </c>
      <c r="J31" s="22"/>
      <c r="K31" s="1"/>
    </row>
    <row r="32" spans="2:11" x14ac:dyDescent="0.3">
      <c r="B32" s="5"/>
      <c r="C32" s="5"/>
      <c r="D32" s="6"/>
      <c r="E32" s="6"/>
      <c r="F32" s="6"/>
      <c r="G32" s="6"/>
      <c r="H32" s="7"/>
      <c r="I32" s="6"/>
      <c r="J32" s="5"/>
      <c r="K32" s="1"/>
    </row>
    <row r="33" spans="2:11" x14ac:dyDescent="0.3">
      <c r="B33" s="8" t="s">
        <v>39</v>
      </c>
      <c r="C33" s="5"/>
      <c r="D33" s="5"/>
      <c r="E33" s="5"/>
      <c r="F33" s="5"/>
      <c r="G33" s="5"/>
      <c r="H33" s="5"/>
      <c r="I33" s="5"/>
      <c r="J33" s="5"/>
      <c r="K33" s="1"/>
    </row>
    <row r="34" spans="2:11" x14ac:dyDescent="0.3">
      <c r="B34" s="9" t="s">
        <v>40</v>
      </c>
      <c r="C34" s="5"/>
      <c r="D34" s="5"/>
      <c r="E34" s="5"/>
      <c r="F34" s="5"/>
      <c r="G34" s="5"/>
      <c r="H34" s="5"/>
      <c r="I34" s="5"/>
      <c r="J34" s="5"/>
      <c r="K34" s="1"/>
    </row>
    <row r="35" spans="2:11" x14ac:dyDescent="0.3">
      <c r="B35" s="9" t="s">
        <v>41</v>
      </c>
      <c r="C35" s="5"/>
      <c r="D35" s="5"/>
      <c r="E35" s="5"/>
      <c r="F35" s="5"/>
      <c r="G35" s="5"/>
      <c r="H35" s="5"/>
      <c r="I35" s="5"/>
      <c r="J35" s="5"/>
      <c r="K35" s="1"/>
    </row>
    <row r="36" spans="2:11" x14ac:dyDescent="0.3">
      <c r="B36" s="9" t="s">
        <v>42</v>
      </c>
      <c r="C36" s="5"/>
      <c r="D36" s="5"/>
      <c r="E36" s="5"/>
      <c r="F36" s="5"/>
      <c r="G36" s="5"/>
      <c r="H36" s="5"/>
      <c r="I36" s="5"/>
      <c r="J36" s="5"/>
      <c r="K36" s="1"/>
    </row>
    <row r="37" spans="2:11" x14ac:dyDescent="0.3">
      <c r="B37" s="9"/>
      <c r="C37" s="5"/>
      <c r="D37" s="5"/>
      <c r="E37" s="5"/>
      <c r="F37" s="5"/>
      <c r="G37" s="5"/>
      <c r="H37" s="5"/>
      <c r="I37" s="5"/>
      <c r="J37" s="5"/>
      <c r="K37" s="1"/>
    </row>
    <row r="38" spans="2:11" x14ac:dyDescent="0.3">
      <c r="B38" s="9"/>
      <c r="C38" s="5"/>
      <c r="D38" s="5"/>
      <c r="E38" s="5"/>
      <c r="F38" s="5"/>
      <c r="G38" s="5"/>
      <c r="H38" s="5"/>
      <c r="I38" s="5"/>
      <c r="J38" s="5"/>
      <c r="K38" s="1"/>
    </row>
    <row r="39" spans="2:11" ht="18" x14ac:dyDescent="0.35">
      <c r="B39" s="10"/>
      <c r="C39" s="10"/>
      <c r="D39" s="167" t="s">
        <v>43</v>
      </c>
      <c r="E39" s="167"/>
      <c r="F39" s="167"/>
      <c r="G39" s="167"/>
      <c r="H39" s="167"/>
      <c r="I39" s="167"/>
      <c r="J39" s="10"/>
    </row>
    <row r="40" spans="2:11" s="37" customFormat="1" ht="15.6" x14ac:dyDescent="0.3">
      <c r="B40" s="27"/>
      <c r="C40" s="27"/>
      <c r="D40" s="168" t="s">
        <v>52</v>
      </c>
      <c r="E40" s="168"/>
      <c r="F40" s="168"/>
      <c r="G40" s="168"/>
      <c r="H40" s="168"/>
      <c r="I40" s="168"/>
      <c r="J40" s="27"/>
    </row>
    <row r="41" spans="2:11" ht="15.9" customHeight="1" x14ac:dyDescent="0.3">
      <c r="B41" s="128" t="s">
        <v>84</v>
      </c>
      <c r="C41" s="128"/>
      <c r="D41" s="128"/>
      <c r="E41" s="128"/>
      <c r="F41" s="128"/>
      <c r="G41" s="128"/>
      <c r="H41" s="128"/>
      <c r="I41" s="128"/>
      <c r="J41" s="128"/>
    </row>
    <row r="42" spans="2:11" ht="14.4" customHeight="1" x14ac:dyDescent="0.3">
      <c r="B42" s="15"/>
      <c r="C42" s="16"/>
      <c r="D42" s="152" t="s">
        <v>6</v>
      </c>
      <c r="E42" s="153"/>
      <c r="F42" s="153"/>
      <c r="G42" s="154"/>
      <c r="H42" s="155" t="s">
        <v>7</v>
      </c>
      <c r="I42" s="156"/>
      <c r="J42" s="4"/>
    </row>
    <row r="43" spans="2:11" x14ac:dyDescent="0.3">
      <c r="B43" s="13"/>
      <c r="C43" s="14"/>
      <c r="D43" s="159" t="s">
        <v>9</v>
      </c>
      <c r="E43" s="160"/>
      <c r="F43" s="160"/>
      <c r="G43" s="161"/>
      <c r="H43" s="157"/>
      <c r="I43" s="158"/>
      <c r="J43" s="4"/>
    </row>
    <row r="44" spans="2:11" ht="14.4" customHeight="1" x14ac:dyDescent="0.3">
      <c r="B44" s="132" t="s">
        <v>10</v>
      </c>
      <c r="C44" s="134" t="s">
        <v>11</v>
      </c>
      <c r="D44" s="19" t="s">
        <v>12</v>
      </c>
      <c r="E44" s="19" t="s">
        <v>13</v>
      </c>
      <c r="F44" s="19" t="s">
        <v>14</v>
      </c>
      <c r="G44" s="19" t="s">
        <v>15</v>
      </c>
      <c r="H44" s="162" t="s">
        <v>16</v>
      </c>
      <c r="I44" s="134" t="s">
        <v>17</v>
      </c>
      <c r="J44" s="20"/>
    </row>
    <row r="45" spans="2:11" ht="38.4" customHeight="1" x14ac:dyDescent="0.3">
      <c r="B45" s="133"/>
      <c r="C45" s="135"/>
      <c r="D45" s="164" t="s">
        <v>20</v>
      </c>
      <c r="E45" s="165"/>
      <c r="F45" s="165"/>
      <c r="G45" s="166"/>
      <c r="H45" s="163"/>
      <c r="I45" s="135"/>
      <c r="J45" s="20"/>
    </row>
    <row r="46" spans="2:11" x14ac:dyDescent="0.3">
      <c r="B46" s="42">
        <v>4</v>
      </c>
      <c r="C46" s="40" t="s">
        <v>21</v>
      </c>
      <c r="D46" s="21">
        <v>0</v>
      </c>
      <c r="E46" s="21">
        <v>0</v>
      </c>
      <c r="F46" s="45">
        <f>+D46+E46</f>
        <v>0</v>
      </c>
      <c r="G46" s="21">
        <f>+F46</f>
        <v>0</v>
      </c>
      <c r="H46" s="50" t="e">
        <f t="shared" ref="H46:H53" si="5">((G46-I46)/I46)*100</f>
        <v>#DIV/0!</v>
      </c>
      <c r="I46" s="21">
        <v>0</v>
      </c>
      <c r="J46" s="22"/>
    </row>
    <row r="47" spans="2:11" x14ac:dyDescent="0.3">
      <c r="B47" s="42">
        <v>5</v>
      </c>
      <c r="C47" s="40" t="s">
        <v>22</v>
      </c>
      <c r="D47" s="26">
        <v>0</v>
      </c>
      <c r="E47" s="26">
        <v>0</v>
      </c>
      <c r="F47" s="49">
        <f>+E47+D47</f>
        <v>0</v>
      </c>
      <c r="G47" s="26">
        <f>+G46+F47</f>
        <v>0</v>
      </c>
      <c r="H47" s="50" t="e">
        <f t="shared" si="5"/>
        <v>#DIV/0!</v>
      </c>
      <c r="I47" s="26">
        <v>0</v>
      </c>
      <c r="J47" s="22"/>
    </row>
    <row r="48" spans="2:11" x14ac:dyDescent="0.3">
      <c r="B48" s="42">
        <v>6</v>
      </c>
      <c r="C48" s="40" t="s">
        <v>23</v>
      </c>
      <c r="D48" s="26">
        <v>15249.4</v>
      </c>
      <c r="E48" s="26">
        <v>0</v>
      </c>
      <c r="F48" s="49">
        <f>+E48+D48</f>
        <v>15249.4</v>
      </c>
      <c r="G48" s="26">
        <f t="shared" ref="G48" si="6">+G47+F48</f>
        <v>15249.4</v>
      </c>
      <c r="H48" s="50" t="e">
        <f t="shared" si="5"/>
        <v>#DIV/0!</v>
      </c>
      <c r="I48" s="26">
        <v>0</v>
      </c>
      <c r="J48" s="22"/>
    </row>
    <row r="49" spans="2:10" x14ac:dyDescent="0.3">
      <c r="B49" s="42">
        <v>7</v>
      </c>
      <c r="C49" s="40" t="s">
        <v>24</v>
      </c>
      <c r="D49" s="26">
        <v>0</v>
      </c>
      <c r="E49" s="26">
        <v>0</v>
      </c>
      <c r="F49" s="49">
        <f t="shared" ref="F49:F68" si="7">+E49+D49</f>
        <v>0</v>
      </c>
      <c r="G49" s="26">
        <f>+G48+F49</f>
        <v>15249.4</v>
      </c>
      <c r="H49" s="50" t="e">
        <f t="shared" si="5"/>
        <v>#DIV/0!</v>
      </c>
      <c r="I49" s="26">
        <v>0</v>
      </c>
      <c r="J49" s="22"/>
    </row>
    <row r="50" spans="2:10" x14ac:dyDescent="0.3">
      <c r="B50" s="42">
        <v>8</v>
      </c>
      <c r="C50" s="40" t="s">
        <v>25</v>
      </c>
      <c r="D50" s="26">
        <v>0</v>
      </c>
      <c r="E50" s="26">
        <v>0</v>
      </c>
      <c r="F50" s="49">
        <f t="shared" si="7"/>
        <v>0</v>
      </c>
      <c r="G50" s="26">
        <f t="shared" ref="G50:G56" si="8">+G49+F50</f>
        <v>15249.4</v>
      </c>
      <c r="H50" s="50" t="e">
        <f t="shared" si="5"/>
        <v>#DIV/0!</v>
      </c>
      <c r="I50" s="26">
        <v>0</v>
      </c>
      <c r="J50" s="22"/>
    </row>
    <row r="51" spans="2:10" x14ac:dyDescent="0.3">
      <c r="B51" s="42">
        <v>9</v>
      </c>
      <c r="C51" s="40" t="s">
        <v>26</v>
      </c>
      <c r="D51" s="26">
        <v>17556.5</v>
      </c>
      <c r="E51" s="26">
        <v>0</v>
      </c>
      <c r="F51" s="49">
        <f t="shared" si="7"/>
        <v>17556.5</v>
      </c>
      <c r="G51" s="26">
        <f t="shared" si="8"/>
        <v>32805.9</v>
      </c>
      <c r="H51" s="50" t="e">
        <f t="shared" si="5"/>
        <v>#DIV/0!</v>
      </c>
      <c r="I51" s="26">
        <v>0</v>
      </c>
      <c r="J51" s="22"/>
    </row>
    <row r="52" spans="2:10" x14ac:dyDescent="0.3">
      <c r="B52" s="42">
        <v>10</v>
      </c>
      <c r="C52" s="40" t="s">
        <v>67</v>
      </c>
      <c r="D52" s="26">
        <v>0</v>
      </c>
      <c r="E52" s="26">
        <v>0</v>
      </c>
      <c r="F52" s="49">
        <f t="shared" si="7"/>
        <v>0</v>
      </c>
      <c r="G52" s="26">
        <f t="shared" si="8"/>
        <v>32805.9</v>
      </c>
      <c r="H52" s="50" t="e">
        <f t="shared" si="5"/>
        <v>#DIV/0!</v>
      </c>
      <c r="I52" s="26">
        <v>0</v>
      </c>
      <c r="J52" s="22"/>
    </row>
    <row r="53" spans="2:10" x14ac:dyDescent="0.3">
      <c r="B53" s="42">
        <v>11</v>
      </c>
      <c r="C53" s="40" t="s">
        <v>68</v>
      </c>
      <c r="D53" s="26">
        <v>0</v>
      </c>
      <c r="E53" s="26">
        <v>0</v>
      </c>
      <c r="F53" s="49">
        <f t="shared" si="7"/>
        <v>0</v>
      </c>
      <c r="G53" s="26">
        <f t="shared" si="8"/>
        <v>32805.9</v>
      </c>
      <c r="H53" s="50" t="e">
        <f t="shared" si="5"/>
        <v>#DIV/0!</v>
      </c>
      <c r="I53" s="26">
        <v>0</v>
      </c>
      <c r="J53" s="22"/>
    </row>
    <row r="54" spans="2:10" x14ac:dyDescent="0.3">
      <c r="B54" s="42">
        <v>12</v>
      </c>
      <c r="C54" s="40" t="s">
        <v>83</v>
      </c>
      <c r="D54" s="26">
        <v>0</v>
      </c>
      <c r="E54" s="26">
        <v>0</v>
      </c>
      <c r="F54" s="49">
        <f t="shared" si="7"/>
        <v>0</v>
      </c>
      <c r="G54" s="26">
        <f t="shared" si="8"/>
        <v>32805.9</v>
      </c>
      <c r="H54" s="50" t="e">
        <f>((G54-I54)/I54)*100</f>
        <v>#DIV/0!</v>
      </c>
      <c r="I54" s="26">
        <v>0</v>
      </c>
      <c r="J54" s="22"/>
    </row>
    <row r="55" spans="2:10" x14ac:dyDescent="0.3">
      <c r="B55" s="42">
        <v>13</v>
      </c>
      <c r="C55" s="40" t="s">
        <v>69</v>
      </c>
      <c r="D55" s="26">
        <v>0</v>
      </c>
      <c r="E55" s="26">
        <v>0</v>
      </c>
      <c r="F55" s="49">
        <f t="shared" si="7"/>
        <v>0</v>
      </c>
      <c r="G55" s="26">
        <f t="shared" si="8"/>
        <v>32805.9</v>
      </c>
      <c r="H55" s="50" t="e">
        <f>((G55-I55)/I55)*100</f>
        <v>#DIV/0!</v>
      </c>
      <c r="I55" s="26">
        <v>0</v>
      </c>
      <c r="J55" s="22"/>
    </row>
    <row r="56" spans="2:10" x14ac:dyDescent="0.3">
      <c r="B56" s="42">
        <v>14</v>
      </c>
      <c r="C56" s="86" t="s">
        <v>70</v>
      </c>
      <c r="D56" s="26">
        <v>0</v>
      </c>
      <c r="E56" s="26">
        <v>0</v>
      </c>
      <c r="F56" s="49">
        <f t="shared" si="7"/>
        <v>0</v>
      </c>
      <c r="G56" s="26">
        <f t="shared" si="8"/>
        <v>32805.9</v>
      </c>
      <c r="H56" s="50" t="e">
        <f>((G56-I56)/I56)*100</f>
        <v>#DIV/0!</v>
      </c>
      <c r="I56" s="26">
        <v>0</v>
      </c>
      <c r="J56" s="22"/>
    </row>
    <row r="57" spans="2:10" hidden="1" x14ac:dyDescent="0.3">
      <c r="B57" s="11">
        <v>15</v>
      </c>
      <c r="C57" s="17" t="s">
        <v>27</v>
      </c>
      <c r="D57" s="24"/>
      <c r="E57" s="24"/>
      <c r="F57" s="25">
        <f t="shared" si="7"/>
        <v>0</v>
      </c>
      <c r="G57" s="24">
        <f t="shared" ref="G57:G68" si="9">+G56+F57</f>
        <v>32805.9</v>
      </c>
      <c r="H57" s="12">
        <v>0</v>
      </c>
      <c r="I57" s="26">
        <v>0</v>
      </c>
      <c r="J57" s="22"/>
    </row>
    <row r="58" spans="2:10" hidden="1" x14ac:dyDescent="0.3">
      <c r="B58" s="11">
        <v>16</v>
      </c>
      <c r="C58" s="17" t="s">
        <v>28</v>
      </c>
      <c r="D58" s="24"/>
      <c r="E58" s="24"/>
      <c r="F58" s="25">
        <f t="shared" si="7"/>
        <v>0</v>
      </c>
      <c r="G58" s="24">
        <f t="shared" si="9"/>
        <v>32805.9</v>
      </c>
      <c r="H58" s="12">
        <v>0</v>
      </c>
      <c r="I58" s="26">
        <v>0</v>
      </c>
      <c r="J58" s="22"/>
    </row>
    <row r="59" spans="2:10" hidden="1" x14ac:dyDescent="0.3">
      <c r="B59" s="11">
        <v>17</v>
      </c>
      <c r="C59" s="17" t="s">
        <v>29</v>
      </c>
      <c r="D59" s="24"/>
      <c r="E59" s="24"/>
      <c r="F59" s="25">
        <f t="shared" si="7"/>
        <v>0</v>
      </c>
      <c r="G59" s="24">
        <f t="shared" si="9"/>
        <v>32805.9</v>
      </c>
      <c r="H59" s="12">
        <v>0</v>
      </c>
      <c r="I59" s="26">
        <v>0</v>
      </c>
      <c r="J59" s="22"/>
    </row>
    <row r="60" spans="2:10" hidden="1" x14ac:dyDescent="0.3">
      <c r="B60" s="11">
        <v>18</v>
      </c>
      <c r="C60" s="17" t="s">
        <v>30</v>
      </c>
      <c r="D60" s="24"/>
      <c r="E60" s="24"/>
      <c r="F60" s="25">
        <f t="shared" si="7"/>
        <v>0</v>
      </c>
      <c r="G60" s="24">
        <f t="shared" si="9"/>
        <v>32805.9</v>
      </c>
      <c r="H60" s="12">
        <v>0</v>
      </c>
      <c r="I60" s="26">
        <v>0</v>
      </c>
      <c r="J60" s="22"/>
    </row>
    <row r="61" spans="2:10" hidden="1" x14ac:dyDescent="0.3">
      <c r="B61" s="11">
        <v>19</v>
      </c>
      <c r="C61" s="17" t="s">
        <v>31</v>
      </c>
      <c r="D61" s="24"/>
      <c r="E61" s="24"/>
      <c r="F61" s="25">
        <f t="shared" si="7"/>
        <v>0</v>
      </c>
      <c r="G61" s="24">
        <f t="shared" si="9"/>
        <v>32805.9</v>
      </c>
      <c r="H61" s="12">
        <v>0</v>
      </c>
      <c r="I61" s="26">
        <v>0</v>
      </c>
      <c r="J61" s="22"/>
    </row>
    <row r="62" spans="2:10" hidden="1" x14ac:dyDescent="0.3">
      <c r="B62" s="11">
        <v>20</v>
      </c>
      <c r="C62" s="17" t="s">
        <v>32</v>
      </c>
      <c r="D62" s="24"/>
      <c r="E62" s="24"/>
      <c r="F62" s="25">
        <f t="shared" si="7"/>
        <v>0</v>
      </c>
      <c r="G62" s="24">
        <f t="shared" si="9"/>
        <v>32805.9</v>
      </c>
      <c r="H62" s="12">
        <v>0</v>
      </c>
      <c r="I62" s="26">
        <v>0</v>
      </c>
      <c r="J62" s="22"/>
    </row>
    <row r="63" spans="2:10" hidden="1" x14ac:dyDescent="0.3">
      <c r="B63" s="11">
        <v>21</v>
      </c>
      <c r="C63" s="17" t="s">
        <v>33</v>
      </c>
      <c r="D63" s="24"/>
      <c r="E63" s="24"/>
      <c r="F63" s="25">
        <f t="shared" si="7"/>
        <v>0</v>
      </c>
      <c r="G63" s="24">
        <f t="shared" si="9"/>
        <v>32805.9</v>
      </c>
      <c r="H63" s="12">
        <v>0</v>
      </c>
      <c r="I63" s="26">
        <v>0</v>
      </c>
      <c r="J63" s="22"/>
    </row>
    <row r="64" spans="2:10" hidden="1" x14ac:dyDescent="0.3">
      <c r="B64" s="11">
        <v>22</v>
      </c>
      <c r="C64" s="17" t="s">
        <v>34</v>
      </c>
      <c r="D64" s="24"/>
      <c r="E64" s="24"/>
      <c r="F64" s="25">
        <f t="shared" si="7"/>
        <v>0</v>
      </c>
      <c r="G64" s="24">
        <f t="shared" si="9"/>
        <v>32805.9</v>
      </c>
      <c r="H64" s="12">
        <v>0</v>
      </c>
      <c r="I64" s="26">
        <v>0</v>
      </c>
      <c r="J64" s="22"/>
    </row>
    <row r="65" spans="2:10" hidden="1" x14ac:dyDescent="0.3">
      <c r="B65" s="11">
        <v>23</v>
      </c>
      <c r="C65" s="17" t="s">
        <v>35</v>
      </c>
      <c r="D65" s="24"/>
      <c r="E65" s="24"/>
      <c r="F65" s="25">
        <f t="shared" si="7"/>
        <v>0</v>
      </c>
      <c r="G65" s="24">
        <f t="shared" si="9"/>
        <v>32805.9</v>
      </c>
      <c r="H65" s="12">
        <v>0</v>
      </c>
      <c r="I65" s="26">
        <v>0</v>
      </c>
      <c r="J65" s="22"/>
    </row>
    <row r="66" spans="2:10" hidden="1" x14ac:dyDescent="0.3">
      <c r="B66" s="11">
        <v>24</v>
      </c>
      <c r="C66" s="17" t="s">
        <v>36</v>
      </c>
      <c r="D66" s="24"/>
      <c r="E66" s="24"/>
      <c r="F66" s="25">
        <f t="shared" si="7"/>
        <v>0</v>
      </c>
      <c r="G66" s="24">
        <f t="shared" si="9"/>
        <v>32805.9</v>
      </c>
      <c r="H66" s="12">
        <v>0</v>
      </c>
      <c r="I66" s="26">
        <v>0</v>
      </c>
      <c r="J66" s="22"/>
    </row>
    <row r="67" spans="2:10" hidden="1" x14ac:dyDescent="0.3">
      <c r="B67" s="11">
        <v>25</v>
      </c>
      <c r="C67" s="18" t="s">
        <v>37</v>
      </c>
      <c r="D67" s="24"/>
      <c r="E67" s="24"/>
      <c r="F67" s="25">
        <f t="shared" si="7"/>
        <v>0</v>
      </c>
      <c r="G67" s="24">
        <f t="shared" si="9"/>
        <v>32805.9</v>
      </c>
      <c r="H67" s="12">
        <v>0</v>
      </c>
      <c r="I67" s="26">
        <v>0</v>
      </c>
      <c r="J67" s="22"/>
    </row>
    <row r="68" spans="2:10" hidden="1" x14ac:dyDescent="0.3">
      <c r="B68" s="28">
        <v>26</v>
      </c>
      <c r="C68" s="29" t="s">
        <v>38</v>
      </c>
      <c r="D68" s="30"/>
      <c r="E68" s="30"/>
      <c r="F68" s="31">
        <f t="shared" si="7"/>
        <v>0</v>
      </c>
      <c r="G68" s="30">
        <f t="shared" si="9"/>
        <v>32805.9</v>
      </c>
      <c r="H68" s="32">
        <v>0</v>
      </c>
      <c r="I68" s="33">
        <v>0</v>
      </c>
      <c r="J68" s="22"/>
    </row>
    <row r="69" spans="2:10" x14ac:dyDescent="0.3">
      <c r="B69" s="5"/>
      <c r="C69" s="5"/>
      <c r="D69" s="6"/>
      <c r="E69" s="6"/>
      <c r="F69" s="6"/>
      <c r="G69" s="6"/>
      <c r="H69" s="7"/>
      <c r="I69" s="6"/>
      <c r="J69" s="5"/>
    </row>
    <row r="70" spans="2:10" x14ac:dyDescent="0.3">
      <c r="B70" s="8" t="s">
        <v>39</v>
      </c>
      <c r="C70" s="5"/>
      <c r="D70" s="5"/>
      <c r="E70" s="5"/>
      <c r="F70" s="5"/>
      <c r="G70" s="5"/>
      <c r="H70" s="5"/>
      <c r="I70" s="5"/>
      <c r="J70" s="5"/>
    </row>
    <row r="71" spans="2:10" x14ac:dyDescent="0.3">
      <c r="B71" s="9" t="s">
        <v>40</v>
      </c>
      <c r="C71" s="5"/>
      <c r="D71" s="5"/>
      <c r="E71" s="5"/>
      <c r="F71" s="5"/>
      <c r="G71" s="5"/>
      <c r="H71" s="5"/>
      <c r="I71" s="5"/>
      <c r="J71" s="5"/>
    </row>
    <row r="72" spans="2:10" x14ac:dyDescent="0.3">
      <c r="B72" s="9" t="s">
        <v>41</v>
      </c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9" t="s">
        <v>42</v>
      </c>
      <c r="C73" s="5"/>
      <c r="D73" s="5"/>
      <c r="E73" s="5"/>
      <c r="F73" s="5"/>
      <c r="G73" s="5"/>
      <c r="H73" s="5"/>
      <c r="I73" s="5"/>
      <c r="J73" s="5"/>
    </row>
    <row r="74" spans="2:10" x14ac:dyDescent="0.3">
      <c r="B74" s="10"/>
      <c r="C74" s="10"/>
      <c r="D74" s="10"/>
      <c r="E74" s="10"/>
      <c r="F74" s="10"/>
      <c r="G74" s="10"/>
      <c r="H74" s="10"/>
      <c r="I74" s="10"/>
      <c r="J74" s="10"/>
    </row>
    <row r="75" spans="2:10" x14ac:dyDescent="0.3">
      <c r="B75" s="10"/>
      <c r="C75" s="10"/>
      <c r="D75" s="10"/>
      <c r="E75" s="10"/>
      <c r="F75" s="10"/>
      <c r="G75" s="10"/>
      <c r="H75" s="10"/>
      <c r="I75" s="10"/>
      <c r="J75" s="10"/>
    </row>
    <row r="76" spans="2:10" ht="18" x14ac:dyDescent="0.35">
      <c r="B76" s="10"/>
      <c r="C76" s="10"/>
      <c r="D76" s="169" t="s">
        <v>45</v>
      </c>
      <c r="E76" s="169"/>
      <c r="F76" s="169"/>
      <c r="G76" s="169"/>
      <c r="H76" s="169"/>
      <c r="I76" s="169"/>
      <c r="J76" s="10"/>
    </row>
    <row r="77" spans="2:10" s="37" customFormat="1" ht="15.6" x14ac:dyDescent="0.3">
      <c r="B77" s="27"/>
      <c r="C77" s="27"/>
      <c r="D77" s="170" t="s">
        <v>52</v>
      </c>
      <c r="E77" s="170"/>
      <c r="F77" s="170"/>
      <c r="G77" s="170"/>
      <c r="H77" s="170"/>
      <c r="I77" s="170"/>
      <c r="J77" s="27"/>
    </row>
    <row r="78" spans="2:10" ht="15.9" customHeight="1" x14ac:dyDescent="0.3">
      <c r="B78" s="128" t="s">
        <v>84</v>
      </c>
      <c r="C78" s="128"/>
      <c r="D78" s="128"/>
      <c r="E78" s="128"/>
      <c r="F78" s="128"/>
      <c r="G78" s="128"/>
      <c r="H78" s="128"/>
      <c r="I78" s="128"/>
      <c r="J78" s="128"/>
    </row>
    <row r="79" spans="2:10" ht="14.4" customHeight="1" x14ac:dyDescent="0.3">
      <c r="B79" s="15"/>
      <c r="C79" s="16"/>
      <c r="D79" s="152" t="s">
        <v>6</v>
      </c>
      <c r="E79" s="153"/>
      <c r="F79" s="153"/>
      <c r="G79" s="154"/>
      <c r="H79" s="155" t="s">
        <v>7</v>
      </c>
      <c r="I79" s="156"/>
      <c r="J79" s="4"/>
    </row>
    <row r="80" spans="2:10" x14ac:dyDescent="0.3">
      <c r="B80" s="13"/>
      <c r="C80" s="14"/>
      <c r="D80" s="159" t="s">
        <v>9</v>
      </c>
      <c r="E80" s="160"/>
      <c r="F80" s="160"/>
      <c r="G80" s="161"/>
      <c r="H80" s="157"/>
      <c r="I80" s="158"/>
      <c r="J80" s="4"/>
    </row>
    <row r="81" spans="2:10" ht="14.4" customHeight="1" x14ac:dyDescent="0.3">
      <c r="B81" s="132" t="s">
        <v>10</v>
      </c>
      <c r="C81" s="134" t="s">
        <v>11</v>
      </c>
      <c r="D81" s="19" t="s">
        <v>12</v>
      </c>
      <c r="E81" s="19" t="s">
        <v>13</v>
      </c>
      <c r="F81" s="19" t="s">
        <v>14</v>
      </c>
      <c r="G81" s="19" t="s">
        <v>15</v>
      </c>
      <c r="H81" s="162" t="s">
        <v>16</v>
      </c>
      <c r="I81" s="134" t="s">
        <v>17</v>
      </c>
      <c r="J81" s="20"/>
    </row>
    <row r="82" spans="2:10" ht="40.35" customHeight="1" x14ac:dyDescent="0.3">
      <c r="B82" s="133"/>
      <c r="C82" s="135"/>
      <c r="D82" s="164" t="s">
        <v>20</v>
      </c>
      <c r="E82" s="165"/>
      <c r="F82" s="165"/>
      <c r="G82" s="166"/>
      <c r="H82" s="163"/>
      <c r="I82" s="135"/>
      <c r="J82" s="20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46" t="s">
        <v>53</v>
      </c>
      <c r="I83" s="21">
        <v>0</v>
      </c>
      <c r="J83" s="22"/>
    </row>
    <row r="84" spans="2:10" x14ac:dyDescent="0.3">
      <c r="B84" s="42">
        <v>5</v>
      </c>
      <c r="C84" s="40" t="s">
        <v>22</v>
      </c>
      <c r="D84" s="26">
        <v>245586</v>
      </c>
      <c r="E84" s="26">
        <v>0</v>
      </c>
      <c r="F84" s="49">
        <f>+E84+D84</f>
        <v>245586</v>
      </c>
      <c r="G84" s="26">
        <f>+G83+F84</f>
        <v>245586</v>
      </c>
      <c r="H84" s="50">
        <f t="shared" ref="H84:H90" si="10">((G84-I84)/I84)*100</f>
        <v>381.03184863086142</v>
      </c>
      <c r="I84" s="26">
        <v>51054</v>
      </c>
      <c r="J84" s="22"/>
    </row>
    <row r="85" spans="2:10" x14ac:dyDescent="0.3">
      <c r="B85" s="42">
        <v>6</v>
      </c>
      <c r="C85" s="40" t="s">
        <v>23</v>
      </c>
      <c r="D85" s="26">
        <v>297586.5</v>
      </c>
      <c r="E85" s="26">
        <v>0</v>
      </c>
      <c r="F85" s="49">
        <f>+E85+D85</f>
        <v>297586.5</v>
      </c>
      <c r="G85" s="26">
        <f t="shared" ref="G85" si="11">+G84+F85</f>
        <v>543172.5</v>
      </c>
      <c r="H85" s="50">
        <f t="shared" si="10"/>
        <v>27.480294355449107</v>
      </c>
      <c r="I85" s="26">
        <f>+I84+375029.5</f>
        <v>426083.5</v>
      </c>
      <c r="J85" s="22"/>
    </row>
    <row r="86" spans="2:10" x14ac:dyDescent="0.3">
      <c r="B86" s="42">
        <v>7</v>
      </c>
      <c r="C86" s="40" t="s">
        <v>24</v>
      </c>
      <c r="D86" s="26">
        <v>309034</v>
      </c>
      <c r="E86" s="26">
        <v>217067</v>
      </c>
      <c r="F86" s="49">
        <f t="shared" ref="F86:F105" si="12">+E86+D86</f>
        <v>526101</v>
      </c>
      <c r="G86" s="26">
        <f>+G85+F86</f>
        <v>1069273.5</v>
      </c>
      <c r="H86" s="50">
        <f t="shared" si="10"/>
        <v>38.350121300339637</v>
      </c>
      <c r="I86" s="26">
        <f>+I85+346791.5</f>
        <v>772875</v>
      </c>
      <c r="J86" s="22"/>
    </row>
    <row r="87" spans="2:10" x14ac:dyDescent="0.3">
      <c r="B87" s="42">
        <v>8</v>
      </c>
      <c r="C87" s="40" t="s">
        <v>25</v>
      </c>
      <c r="D87" s="26">
        <v>480779</v>
      </c>
      <c r="E87" s="26">
        <v>0</v>
      </c>
      <c r="F87" s="49">
        <f t="shared" si="12"/>
        <v>480779</v>
      </c>
      <c r="G87" s="26">
        <f t="shared" ref="G87:G89" si="13">+G86+F87</f>
        <v>1550052.5</v>
      </c>
      <c r="H87" s="50">
        <f t="shared" si="10"/>
        <v>15.603005874671194</v>
      </c>
      <c r="I87" s="26">
        <v>1340841</v>
      </c>
      <c r="J87" s="22"/>
    </row>
    <row r="88" spans="2:10" x14ac:dyDescent="0.3">
      <c r="B88" s="42">
        <v>9</v>
      </c>
      <c r="C88" s="40" t="s">
        <v>26</v>
      </c>
      <c r="D88" s="26">
        <v>212970.5</v>
      </c>
      <c r="E88" s="26">
        <v>0</v>
      </c>
      <c r="F88" s="49">
        <f t="shared" si="12"/>
        <v>212970.5</v>
      </c>
      <c r="G88" s="26">
        <f t="shared" si="13"/>
        <v>1763023</v>
      </c>
      <c r="H88" s="50">
        <f t="shared" si="10"/>
        <v>10.243301227918018</v>
      </c>
      <c r="I88" s="26">
        <f>+I87+258370</f>
        <v>1599211</v>
      </c>
      <c r="J88" s="22"/>
    </row>
    <row r="89" spans="2:10" x14ac:dyDescent="0.3">
      <c r="B89" s="42">
        <v>10</v>
      </c>
      <c r="C89" s="40" t="s">
        <v>67</v>
      </c>
      <c r="D89" s="26">
        <v>441354</v>
      </c>
      <c r="E89" s="26">
        <v>0</v>
      </c>
      <c r="F89" s="49">
        <f t="shared" si="12"/>
        <v>441354</v>
      </c>
      <c r="G89" s="26">
        <f t="shared" si="13"/>
        <v>2204377</v>
      </c>
      <c r="H89" s="50">
        <f t="shared" si="10"/>
        <v>1.3536257265442002</v>
      </c>
      <c r="I89" s="26">
        <f>+I88+575725.5</f>
        <v>2174936.5</v>
      </c>
      <c r="J89" s="22"/>
    </row>
    <row r="90" spans="2:10" x14ac:dyDescent="0.3">
      <c r="B90" s="42">
        <v>11</v>
      </c>
      <c r="C90" s="40" t="s">
        <v>68</v>
      </c>
      <c r="D90" s="26">
        <v>400342.5</v>
      </c>
      <c r="E90" s="26">
        <v>0</v>
      </c>
      <c r="F90" s="49">
        <f t="shared" si="12"/>
        <v>400342.5</v>
      </c>
      <c r="G90" s="26">
        <f>+G89+F90</f>
        <v>2604719.5</v>
      </c>
      <c r="H90" s="50">
        <f t="shared" si="10"/>
        <v>-6.9453236865195169</v>
      </c>
      <c r="I90" s="26">
        <f>+I89+624191.5</f>
        <v>2799128</v>
      </c>
      <c r="J90" s="22"/>
    </row>
    <row r="91" spans="2:10" x14ac:dyDescent="0.3">
      <c r="B91" s="42">
        <v>12</v>
      </c>
      <c r="C91" s="40" t="s">
        <v>83</v>
      </c>
      <c r="D91" s="26">
        <v>272234</v>
      </c>
      <c r="E91" s="26">
        <v>0</v>
      </c>
      <c r="F91" s="49">
        <f t="shared" si="12"/>
        <v>272234</v>
      </c>
      <c r="G91" s="26">
        <f t="shared" ref="G91:G93" si="14">+G90+F91</f>
        <v>2876953.5</v>
      </c>
      <c r="H91" s="50">
        <f>((G91-I91)/I91)*100</f>
        <v>-11.447932805223703</v>
      </c>
      <c r="I91" s="26">
        <f>+I90+449755.5</f>
        <v>3248883.5</v>
      </c>
      <c r="J91" s="22"/>
    </row>
    <row r="92" spans="2:10" x14ac:dyDescent="0.3">
      <c r="B92" s="42">
        <v>13</v>
      </c>
      <c r="C92" s="40" t="s">
        <v>69</v>
      </c>
      <c r="D92" s="26">
        <v>143143</v>
      </c>
      <c r="E92" s="26">
        <v>0</v>
      </c>
      <c r="F92" s="49">
        <f t="shared" si="12"/>
        <v>143143</v>
      </c>
      <c r="G92" s="26">
        <f t="shared" si="14"/>
        <v>3020096.5</v>
      </c>
      <c r="H92" s="50">
        <f>((G92-I92)/I92)*100</f>
        <v>-14.419863138497391</v>
      </c>
      <c r="I92" s="26">
        <v>3528969</v>
      </c>
      <c r="J92" s="22"/>
    </row>
    <row r="93" spans="2:10" x14ac:dyDescent="0.3">
      <c r="B93" s="42">
        <v>14</v>
      </c>
      <c r="C93" s="86" t="s">
        <v>70</v>
      </c>
      <c r="D93" s="26">
        <v>79621</v>
      </c>
      <c r="E93" s="26">
        <v>0</v>
      </c>
      <c r="F93" s="49">
        <f t="shared" si="12"/>
        <v>79621</v>
      </c>
      <c r="G93" s="26">
        <f t="shared" si="14"/>
        <v>3099717.5</v>
      </c>
      <c r="H93" s="50">
        <f>((G93-I93)/I93)*100</f>
        <v>-15.28390336292062</v>
      </c>
      <c r="I93" s="26">
        <f>+I92+129978.5</f>
        <v>3658947.5</v>
      </c>
      <c r="J93" s="22"/>
    </row>
    <row r="94" spans="2:10" hidden="1" x14ac:dyDescent="0.3">
      <c r="B94" s="11">
        <v>15</v>
      </c>
      <c r="C94" s="17" t="s">
        <v>27</v>
      </c>
      <c r="D94" s="24"/>
      <c r="E94" s="24"/>
      <c r="F94" s="25">
        <f t="shared" si="12"/>
        <v>0</v>
      </c>
      <c r="G94" s="24">
        <f t="shared" ref="G94:G105" si="15">+G93+F94</f>
        <v>3099717.5</v>
      </c>
      <c r="H94" s="12">
        <v>0</v>
      </c>
      <c r="I94" s="26">
        <v>0</v>
      </c>
      <c r="J94" s="22"/>
    </row>
    <row r="95" spans="2:10" hidden="1" x14ac:dyDescent="0.3">
      <c r="B95" s="11">
        <v>16</v>
      </c>
      <c r="C95" s="17" t="s">
        <v>28</v>
      </c>
      <c r="D95" s="24"/>
      <c r="E95" s="24"/>
      <c r="F95" s="25">
        <f t="shared" si="12"/>
        <v>0</v>
      </c>
      <c r="G95" s="24">
        <f t="shared" si="15"/>
        <v>3099717.5</v>
      </c>
      <c r="H95" s="12">
        <v>0</v>
      </c>
      <c r="I95" s="26">
        <v>0</v>
      </c>
      <c r="J95" s="22"/>
    </row>
    <row r="96" spans="2:10" hidden="1" x14ac:dyDescent="0.3">
      <c r="B96" s="11">
        <v>17</v>
      </c>
      <c r="C96" s="17" t="s">
        <v>29</v>
      </c>
      <c r="D96" s="24"/>
      <c r="E96" s="24"/>
      <c r="F96" s="25">
        <f t="shared" si="12"/>
        <v>0</v>
      </c>
      <c r="G96" s="24">
        <f t="shared" si="15"/>
        <v>3099717.5</v>
      </c>
      <c r="H96" s="12">
        <v>0</v>
      </c>
      <c r="I96" s="26">
        <v>0</v>
      </c>
      <c r="J96" s="22"/>
    </row>
    <row r="97" spans="2:10" hidden="1" x14ac:dyDescent="0.3">
      <c r="B97" s="11">
        <v>18</v>
      </c>
      <c r="C97" s="17" t="s">
        <v>30</v>
      </c>
      <c r="D97" s="24"/>
      <c r="E97" s="24"/>
      <c r="F97" s="25">
        <f t="shared" si="12"/>
        <v>0</v>
      </c>
      <c r="G97" s="24">
        <f t="shared" si="15"/>
        <v>3099717.5</v>
      </c>
      <c r="H97" s="12">
        <v>0</v>
      </c>
      <c r="I97" s="26">
        <v>0</v>
      </c>
      <c r="J97" s="22"/>
    </row>
    <row r="98" spans="2:10" hidden="1" x14ac:dyDescent="0.3">
      <c r="B98" s="11">
        <v>19</v>
      </c>
      <c r="C98" s="17" t="s">
        <v>31</v>
      </c>
      <c r="D98" s="24"/>
      <c r="E98" s="24"/>
      <c r="F98" s="25">
        <f t="shared" si="12"/>
        <v>0</v>
      </c>
      <c r="G98" s="24">
        <f t="shared" si="15"/>
        <v>3099717.5</v>
      </c>
      <c r="H98" s="12">
        <v>0</v>
      </c>
      <c r="I98" s="26">
        <v>0</v>
      </c>
      <c r="J98" s="22"/>
    </row>
    <row r="99" spans="2:10" hidden="1" x14ac:dyDescent="0.3">
      <c r="B99" s="11">
        <v>20</v>
      </c>
      <c r="C99" s="17" t="s">
        <v>32</v>
      </c>
      <c r="D99" s="24"/>
      <c r="E99" s="24"/>
      <c r="F99" s="25">
        <f t="shared" si="12"/>
        <v>0</v>
      </c>
      <c r="G99" s="24">
        <f t="shared" si="15"/>
        <v>3099717.5</v>
      </c>
      <c r="H99" s="12">
        <v>0</v>
      </c>
      <c r="I99" s="26">
        <v>0</v>
      </c>
      <c r="J99" s="22"/>
    </row>
    <row r="100" spans="2:10" hidden="1" x14ac:dyDescent="0.3">
      <c r="B100" s="11">
        <v>21</v>
      </c>
      <c r="C100" s="17" t="s">
        <v>33</v>
      </c>
      <c r="D100" s="24"/>
      <c r="E100" s="24"/>
      <c r="F100" s="25">
        <f t="shared" si="12"/>
        <v>0</v>
      </c>
      <c r="G100" s="24">
        <f t="shared" si="15"/>
        <v>3099717.5</v>
      </c>
      <c r="H100" s="12">
        <v>0</v>
      </c>
      <c r="I100" s="26">
        <v>0</v>
      </c>
      <c r="J100" s="22"/>
    </row>
    <row r="101" spans="2:10" hidden="1" x14ac:dyDescent="0.3">
      <c r="B101" s="11">
        <v>22</v>
      </c>
      <c r="C101" s="17" t="s">
        <v>34</v>
      </c>
      <c r="D101" s="24"/>
      <c r="E101" s="24"/>
      <c r="F101" s="25">
        <f t="shared" si="12"/>
        <v>0</v>
      </c>
      <c r="G101" s="24">
        <f t="shared" si="15"/>
        <v>3099717.5</v>
      </c>
      <c r="H101" s="12">
        <v>0</v>
      </c>
      <c r="I101" s="26">
        <v>0</v>
      </c>
      <c r="J101" s="22"/>
    </row>
    <row r="102" spans="2:10" hidden="1" x14ac:dyDescent="0.3">
      <c r="B102" s="11">
        <v>23</v>
      </c>
      <c r="C102" s="17" t="s">
        <v>35</v>
      </c>
      <c r="D102" s="24"/>
      <c r="E102" s="24"/>
      <c r="F102" s="25">
        <f t="shared" si="12"/>
        <v>0</v>
      </c>
      <c r="G102" s="24">
        <f t="shared" si="15"/>
        <v>3099717.5</v>
      </c>
      <c r="H102" s="12">
        <v>0</v>
      </c>
      <c r="I102" s="26">
        <v>0</v>
      </c>
      <c r="J102" s="22"/>
    </row>
    <row r="103" spans="2:10" hidden="1" x14ac:dyDescent="0.3">
      <c r="B103" s="11">
        <v>24</v>
      </c>
      <c r="C103" s="17" t="s">
        <v>36</v>
      </c>
      <c r="D103" s="24"/>
      <c r="E103" s="24"/>
      <c r="F103" s="25">
        <f t="shared" si="12"/>
        <v>0</v>
      </c>
      <c r="G103" s="24">
        <f t="shared" si="15"/>
        <v>3099717.5</v>
      </c>
      <c r="H103" s="12">
        <v>0</v>
      </c>
      <c r="I103" s="26">
        <v>0</v>
      </c>
      <c r="J103" s="22"/>
    </row>
    <row r="104" spans="2:10" hidden="1" x14ac:dyDescent="0.3">
      <c r="B104" s="11">
        <v>25</v>
      </c>
      <c r="C104" s="18" t="s">
        <v>37</v>
      </c>
      <c r="D104" s="24"/>
      <c r="E104" s="24"/>
      <c r="F104" s="25">
        <f t="shared" si="12"/>
        <v>0</v>
      </c>
      <c r="G104" s="24">
        <f t="shared" si="15"/>
        <v>3099717.5</v>
      </c>
      <c r="H104" s="12">
        <v>0</v>
      </c>
      <c r="I104" s="26">
        <v>0</v>
      </c>
      <c r="J104" s="22"/>
    </row>
    <row r="105" spans="2:10" hidden="1" x14ac:dyDescent="0.3">
      <c r="B105" s="28">
        <v>26</v>
      </c>
      <c r="C105" s="29" t="s">
        <v>38</v>
      </c>
      <c r="D105" s="30"/>
      <c r="E105" s="30"/>
      <c r="F105" s="31">
        <f t="shared" si="12"/>
        <v>0</v>
      </c>
      <c r="G105" s="30">
        <f t="shared" si="15"/>
        <v>3099717.5</v>
      </c>
      <c r="H105" s="32">
        <v>0</v>
      </c>
      <c r="I105" s="33">
        <v>0</v>
      </c>
      <c r="J105" s="22"/>
    </row>
    <row r="106" spans="2:10" x14ac:dyDescent="0.3">
      <c r="B106" s="5"/>
      <c r="C106" s="5"/>
      <c r="D106" s="6"/>
      <c r="E106" s="6"/>
      <c r="F106" s="6"/>
      <c r="G106" s="6"/>
      <c r="H106" s="7"/>
      <c r="I106" s="6"/>
      <c r="J106" s="5"/>
    </row>
    <row r="107" spans="2:10" x14ac:dyDescent="0.3">
      <c r="B107" s="8" t="s">
        <v>39</v>
      </c>
      <c r="C107" s="5"/>
      <c r="D107" s="5"/>
      <c r="E107" s="5"/>
      <c r="F107" s="5"/>
      <c r="G107" s="5"/>
      <c r="H107" s="5"/>
      <c r="I107" s="5"/>
      <c r="J107" s="5"/>
    </row>
    <row r="108" spans="2:10" x14ac:dyDescent="0.3">
      <c r="B108" s="9" t="s">
        <v>40</v>
      </c>
      <c r="C108" s="5"/>
      <c r="D108" s="5"/>
      <c r="E108" s="5"/>
      <c r="F108" s="5"/>
      <c r="G108" s="5"/>
      <c r="H108" s="5"/>
      <c r="I108" s="5"/>
      <c r="J108" s="5"/>
    </row>
    <row r="109" spans="2:10" x14ac:dyDescent="0.3">
      <c r="B109" s="9" t="s">
        <v>41</v>
      </c>
      <c r="C109" s="5"/>
      <c r="D109" s="5"/>
      <c r="E109" s="5"/>
      <c r="F109" s="5"/>
      <c r="G109" s="5"/>
      <c r="H109" s="5"/>
      <c r="I109" s="5"/>
      <c r="J109" s="5"/>
    </row>
    <row r="110" spans="2:10" x14ac:dyDescent="0.3">
      <c r="B110" s="9" t="s">
        <v>42</v>
      </c>
      <c r="C110" s="5"/>
      <c r="D110" s="5"/>
      <c r="E110" s="5"/>
      <c r="F110" s="5"/>
      <c r="G110" s="5"/>
      <c r="H110" s="5"/>
      <c r="I110" s="5"/>
      <c r="J110" s="5"/>
    </row>
    <row r="113" spans="2:10" ht="18" x14ac:dyDescent="0.35">
      <c r="B113" s="10"/>
      <c r="C113" s="10"/>
      <c r="D113" s="171" t="s">
        <v>46</v>
      </c>
      <c r="E113" s="171"/>
      <c r="F113" s="171"/>
      <c r="G113" s="171"/>
      <c r="H113" s="171"/>
      <c r="I113" s="171"/>
      <c r="J113" s="10"/>
    </row>
    <row r="114" spans="2:10" s="37" customFormat="1" ht="15.6" x14ac:dyDescent="0.3">
      <c r="B114" s="27"/>
      <c r="C114" s="27"/>
      <c r="D114" s="172" t="s">
        <v>52</v>
      </c>
      <c r="E114" s="172"/>
      <c r="F114" s="172"/>
      <c r="G114" s="172"/>
      <c r="H114" s="172"/>
      <c r="I114" s="172"/>
      <c r="J114" s="27"/>
    </row>
    <row r="115" spans="2:10" ht="15.9" customHeight="1" x14ac:dyDescent="0.3">
      <c r="B115" s="128" t="s">
        <v>84</v>
      </c>
      <c r="C115" s="128"/>
      <c r="D115" s="128"/>
      <c r="E115" s="128"/>
      <c r="F115" s="128"/>
      <c r="G115" s="128"/>
      <c r="H115" s="128"/>
      <c r="I115" s="128"/>
      <c r="J115" s="128"/>
    </row>
    <row r="116" spans="2:10" ht="14.4" customHeight="1" x14ac:dyDescent="0.3">
      <c r="B116" s="15"/>
      <c r="C116" s="16"/>
      <c r="D116" s="152" t="s">
        <v>6</v>
      </c>
      <c r="E116" s="153"/>
      <c r="F116" s="153"/>
      <c r="G116" s="154"/>
      <c r="H116" s="155" t="s">
        <v>7</v>
      </c>
      <c r="I116" s="156"/>
      <c r="J116" s="4"/>
    </row>
    <row r="117" spans="2:10" x14ac:dyDescent="0.3">
      <c r="B117" s="13"/>
      <c r="C117" s="14"/>
      <c r="D117" s="159" t="s">
        <v>9</v>
      </c>
      <c r="E117" s="160"/>
      <c r="F117" s="160"/>
      <c r="G117" s="161"/>
      <c r="H117" s="157"/>
      <c r="I117" s="158"/>
      <c r="J117" s="4"/>
    </row>
    <row r="118" spans="2:10" ht="14.4" customHeight="1" x14ac:dyDescent="0.3">
      <c r="B118" s="132" t="s">
        <v>10</v>
      </c>
      <c r="C118" s="134" t="s">
        <v>11</v>
      </c>
      <c r="D118" s="19" t="s">
        <v>12</v>
      </c>
      <c r="E118" s="19" t="s">
        <v>13</v>
      </c>
      <c r="F118" s="19" t="s">
        <v>14</v>
      </c>
      <c r="G118" s="19" t="s">
        <v>15</v>
      </c>
      <c r="H118" s="162" t="s">
        <v>16</v>
      </c>
      <c r="I118" s="134" t="s">
        <v>17</v>
      </c>
      <c r="J118" s="20"/>
    </row>
    <row r="119" spans="2:10" ht="39" customHeight="1" x14ac:dyDescent="0.3">
      <c r="B119" s="133"/>
      <c r="C119" s="135"/>
      <c r="D119" s="164" t="s">
        <v>20</v>
      </c>
      <c r="E119" s="165"/>
      <c r="F119" s="165"/>
      <c r="G119" s="166"/>
      <c r="H119" s="163"/>
      <c r="I119" s="135"/>
      <c r="J119" s="20"/>
    </row>
    <row r="120" spans="2:10" x14ac:dyDescent="0.3">
      <c r="B120" s="42">
        <v>4</v>
      </c>
      <c r="C120" s="40" t="s">
        <v>21</v>
      </c>
      <c r="D120" s="21">
        <v>0</v>
      </c>
      <c r="E120" s="21">
        <v>0</v>
      </c>
      <c r="F120" s="45">
        <f>+D120+E120</f>
        <v>0</v>
      </c>
      <c r="G120" s="21">
        <f>+F120</f>
        <v>0</v>
      </c>
      <c r="H120" s="46" t="e">
        <f t="shared" ref="H120:H127" si="16">((G120-I120)/I120)*100</f>
        <v>#DIV/0!</v>
      </c>
      <c r="I120" s="21">
        <v>0</v>
      </c>
      <c r="J120" s="22"/>
    </row>
    <row r="121" spans="2:10" x14ac:dyDescent="0.3">
      <c r="B121" s="42">
        <v>5</v>
      </c>
      <c r="C121" s="40" t="s">
        <v>22</v>
      </c>
      <c r="D121" s="26">
        <v>0</v>
      </c>
      <c r="E121" s="26">
        <v>0</v>
      </c>
      <c r="F121" s="49">
        <f>+E121+D121</f>
        <v>0</v>
      </c>
      <c r="G121" s="26">
        <f>+G120+F121</f>
        <v>0</v>
      </c>
      <c r="H121" s="50" t="e">
        <f t="shared" si="16"/>
        <v>#DIV/0!</v>
      </c>
      <c r="I121" s="26">
        <v>0</v>
      </c>
      <c r="J121" s="22"/>
    </row>
    <row r="122" spans="2:10" x14ac:dyDescent="0.3">
      <c r="B122" s="42">
        <v>6</v>
      </c>
      <c r="C122" s="40" t="s">
        <v>23</v>
      </c>
      <c r="D122" s="26">
        <v>0</v>
      </c>
      <c r="E122" s="26">
        <v>0</v>
      </c>
      <c r="F122" s="49">
        <f>+E122+D122</f>
        <v>0</v>
      </c>
      <c r="G122" s="26">
        <f t="shared" ref="G122" si="17">+G121+F122</f>
        <v>0</v>
      </c>
      <c r="H122" s="50" t="e">
        <f t="shared" si="16"/>
        <v>#DIV/0!</v>
      </c>
      <c r="I122" s="26">
        <v>0</v>
      </c>
      <c r="J122" s="22"/>
    </row>
    <row r="123" spans="2:10" x14ac:dyDescent="0.3">
      <c r="B123" s="42">
        <v>7</v>
      </c>
      <c r="C123" s="40" t="s">
        <v>24</v>
      </c>
      <c r="D123" s="26">
        <v>0</v>
      </c>
      <c r="E123" s="26">
        <v>0</v>
      </c>
      <c r="F123" s="49">
        <f t="shared" ref="F123:F142" si="18">+E123+D123</f>
        <v>0</v>
      </c>
      <c r="G123" s="26">
        <v>0</v>
      </c>
      <c r="H123" s="50" t="e">
        <f t="shared" si="16"/>
        <v>#DIV/0!</v>
      </c>
      <c r="I123" s="26">
        <v>0</v>
      </c>
      <c r="J123" s="22"/>
    </row>
    <row r="124" spans="2:10" x14ac:dyDescent="0.3">
      <c r="B124" s="42">
        <v>8</v>
      </c>
      <c r="C124" s="40" t="s">
        <v>25</v>
      </c>
      <c r="D124" s="26">
        <v>0</v>
      </c>
      <c r="E124" s="26">
        <v>0</v>
      </c>
      <c r="F124" s="49">
        <f t="shared" si="18"/>
        <v>0</v>
      </c>
      <c r="G124" s="26">
        <f t="shared" ref="G124:G130" si="19">+G123+F124</f>
        <v>0</v>
      </c>
      <c r="H124" s="50" t="e">
        <f t="shared" si="16"/>
        <v>#DIV/0!</v>
      </c>
      <c r="I124" s="26">
        <v>0</v>
      </c>
      <c r="J124" s="22"/>
    </row>
    <row r="125" spans="2:10" x14ac:dyDescent="0.3">
      <c r="B125" s="42">
        <v>9</v>
      </c>
      <c r="C125" s="40" t="s">
        <v>26</v>
      </c>
      <c r="D125" s="26">
        <v>0</v>
      </c>
      <c r="E125" s="26">
        <v>0</v>
      </c>
      <c r="F125" s="49">
        <f t="shared" si="18"/>
        <v>0</v>
      </c>
      <c r="G125" s="26">
        <f t="shared" si="19"/>
        <v>0</v>
      </c>
      <c r="H125" s="50" t="e">
        <f t="shared" si="16"/>
        <v>#DIV/0!</v>
      </c>
      <c r="I125" s="26">
        <v>0</v>
      </c>
      <c r="J125" s="22"/>
    </row>
    <row r="126" spans="2:10" x14ac:dyDescent="0.3">
      <c r="B126" s="42">
        <v>10</v>
      </c>
      <c r="C126" s="40" t="s">
        <v>67</v>
      </c>
      <c r="D126" s="26">
        <v>0</v>
      </c>
      <c r="E126" s="26">
        <v>0</v>
      </c>
      <c r="F126" s="49">
        <f t="shared" si="18"/>
        <v>0</v>
      </c>
      <c r="G126" s="26">
        <f t="shared" si="19"/>
        <v>0</v>
      </c>
      <c r="H126" s="50" t="e">
        <f t="shared" si="16"/>
        <v>#DIV/0!</v>
      </c>
      <c r="I126" s="26">
        <v>0</v>
      </c>
      <c r="J126" s="22"/>
    </row>
    <row r="127" spans="2:10" x14ac:dyDescent="0.3">
      <c r="B127" s="42">
        <v>11</v>
      </c>
      <c r="C127" s="40" t="s">
        <v>68</v>
      </c>
      <c r="D127" s="26">
        <v>0</v>
      </c>
      <c r="E127" s="26">
        <v>0</v>
      </c>
      <c r="F127" s="49">
        <f t="shared" si="18"/>
        <v>0</v>
      </c>
      <c r="G127" s="26">
        <f t="shared" si="19"/>
        <v>0</v>
      </c>
      <c r="H127" s="50" t="e">
        <f t="shared" si="16"/>
        <v>#DIV/0!</v>
      </c>
      <c r="I127" s="26">
        <v>0</v>
      </c>
      <c r="J127" s="22"/>
    </row>
    <row r="128" spans="2:10" x14ac:dyDescent="0.3">
      <c r="B128" s="42">
        <v>12</v>
      </c>
      <c r="C128" s="40" t="s">
        <v>83</v>
      </c>
      <c r="D128" s="26">
        <v>0</v>
      </c>
      <c r="E128" s="26">
        <v>0</v>
      </c>
      <c r="F128" s="49">
        <f t="shared" si="18"/>
        <v>0</v>
      </c>
      <c r="G128" s="26">
        <f t="shared" si="19"/>
        <v>0</v>
      </c>
      <c r="H128" s="50" t="e">
        <f>((G128-I128)/I128)*100</f>
        <v>#DIV/0!</v>
      </c>
      <c r="I128" s="26">
        <v>0</v>
      </c>
      <c r="J128" s="22"/>
    </row>
    <row r="129" spans="2:10" x14ac:dyDescent="0.3">
      <c r="B129" s="42">
        <v>13</v>
      </c>
      <c r="C129" s="40" t="s">
        <v>69</v>
      </c>
      <c r="D129" s="26">
        <v>0</v>
      </c>
      <c r="E129" s="26">
        <v>0</v>
      </c>
      <c r="F129" s="49">
        <f t="shared" si="18"/>
        <v>0</v>
      </c>
      <c r="G129" s="26">
        <f t="shared" si="19"/>
        <v>0</v>
      </c>
      <c r="H129" s="50" t="e">
        <f>((G129-I129)/I129)*100</f>
        <v>#DIV/0!</v>
      </c>
      <c r="I129" s="26">
        <v>0</v>
      </c>
      <c r="J129" s="22"/>
    </row>
    <row r="130" spans="2:10" x14ac:dyDescent="0.3">
      <c r="B130" s="42">
        <v>14</v>
      </c>
      <c r="C130" s="86" t="s">
        <v>70</v>
      </c>
      <c r="D130" s="26">
        <v>0</v>
      </c>
      <c r="E130" s="26">
        <v>0</v>
      </c>
      <c r="F130" s="49">
        <f t="shared" si="18"/>
        <v>0</v>
      </c>
      <c r="G130" s="26">
        <f t="shared" si="19"/>
        <v>0</v>
      </c>
      <c r="H130" s="50" t="e">
        <f>((G130-I130)/I130)*100</f>
        <v>#DIV/0!</v>
      </c>
      <c r="I130" s="26">
        <v>0</v>
      </c>
      <c r="J130" s="22"/>
    </row>
    <row r="131" spans="2:10" hidden="1" x14ac:dyDescent="0.3">
      <c r="B131" s="11">
        <v>15</v>
      </c>
      <c r="C131" s="17" t="s">
        <v>27</v>
      </c>
      <c r="D131" s="24"/>
      <c r="E131" s="24"/>
      <c r="F131" s="25">
        <f t="shared" si="18"/>
        <v>0</v>
      </c>
      <c r="G131" s="24">
        <f t="shared" ref="G131:G142" si="20">+G130+F131</f>
        <v>0</v>
      </c>
      <c r="H131" s="12">
        <v>0</v>
      </c>
      <c r="I131" s="26">
        <v>0</v>
      </c>
      <c r="J131" s="22"/>
    </row>
    <row r="132" spans="2:10" hidden="1" x14ac:dyDescent="0.3">
      <c r="B132" s="11">
        <v>16</v>
      </c>
      <c r="C132" s="17" t="s">
        <v>28</v>
      </c>
      <c r="D132" s="24"/>
      <c r="E132" s="24"/>
      <c r="F132" s="25">
        <f t="shared" si="18"/>
        <v>0</v>
      </c>
      <c r="G132" s="24">
        <f t="shared" si="20"/>
        <v>0</v>
      </c>
      <c r="H132" s="12">
        <v>0</v>
      </c>
      <c r="I132" s="26">
        <v>0</v>
      </c>
      <c r="J132" s="22"/>
    </row>
    <row r="133" spans="2:10" hidden="1" x14ac:dyDescent="0.3">
      <c r="B133" s="11">
        <v>17</v>
      </c>
      <c r="C133" s="17" t="s">
        <v>29</v>
      </c>
      <c r="D133" s="24"/>
      <c r="E133" s="24"/>
      <c r="F133" s="25">
        <f t="shared" si="18"/>
        <v>0</v>
      </c>
      <c r="G133" s="24">
        <f t="shared" si="20"/>
        <v>0</v>
      </c>
      <c r="H133" s="12">
        <v>0</v>
      </c>
      <c r="I133" s="26">
        <v>0</v>
      </c>
      <c r="J133" s="22"/>
    </row>
    <row r="134" spans="2:10" hidden="1" x14ac:dyDescent="0.3">
      <c r="B134" s="11">
        <v>18</v>
      </c>
      <c r="C134" s="17" t="s">
        <v>30</v>
      </c>
      <c r="D134" s="24"/>
      <c r="E134" s="24"/>
      <c r="F134" s="25">
        <f t="shared" si="18"/>
        <v>0</v>
      </c>
      <c r="G134" s="24">
        <f t="shared" si="20"/>
        <v>0</v>
      </c>
      <c r="H134" s="12">
        <v>0</v>
      </c>
      <c r="I134" s="26">
        <v>0</v>
      </c>
      <c r="J134" s="22"/>
    </row>
    <row r="135" spans="2:10" hidden="1" x14ac:dyDescent="0.3">
      <c r="B135" s="11">
        <v>19</v>
      </c>
      <c r="C135" s="17" t="s">
        <v>31</v>
      </c>
      <c r="D135" s="24"/>
      <c r="E135" s="24"/>
      <c r="F135" s="25">
        <f t="shared" si="18"/>
        <v>0</v>
      </c>
      <c r="G135" s="24">
        <f t="shared" si="20"/>
        <v>0</v>
      </c>
      <c r="H135" s="12">
        <v>0</v>
      </c>
      <c r="I135" s="26">
        <v>0</v>
      </c>
      <c r="J135" s="22"/>
    </row>
    <row r="136" spans="2:10" hidden="1" x14ac:dyDescent="0.3">
      <c r="B136" s="11">
        <v>20</v>
      </c>
      <c r="C136" s="17" t="s">
        <v>32</v>
      </c>
      <c r="D136" s="24"/>
      <c r="E136" s="24"/>
      <c r="F136" s="25">
        <f t="shared" si="18"/>
        <v>0</v>
      </c>
      <c r="G136" s="24">
        <f t="shared" si="20"/>
        <v>0</v>
      </c>
      <c r="H136" s="12">
        <v>0</v>
      </c>
      <c r="I136" s="26">
        <v>0</v>
      </c>
      <c r="J136" s="22"/>
    </row>
    <row r="137" spans="2:10" hidden="1" x14ac:dyDescent="0.3">
      <c r="B137" s="11">
        <v>21</v>
      </c>
      <c r="C137" s="17" t="s">
        <v>33</v>
      </c>
      <c r="D137" s="24"/>
      <c r="E137" s="24"/>
      <c r="F137" s="25">
        <f t="shared" si="18"/>
        <v>0</v>
      </c>
      <c r="G137" s="24">
        <f t="shared" si="20"/>
        <v>0</v>
      </c>
      <c r="H137" s="12">
        <v>0</v>
      </c>
      <c r="I137" s="26">
        <v>0</v>
      </c>
      <c r="J137" s="22"/>
    </row>
    <row r="138" spans="2:10" hidden="1" x14ac:dyDescent="0.3">
      <c r="B138" s="11">
        <v>22</v>
      </c>
      <c r="C138" s="17" t="s">
        <v>34</v>
      </c>
      <c r="D138" s="24"/>
      <c r="E138" s="24"/>
      <c r="F138" s="25">
        <f t="shared" si="18"/>
        <v>0</v>
      </c>
      <c r="G138" s="24">
        <f t="shared" si="20"/>
        <v>0</v>
      </c>
      <c r="H138" s="12">
        <v>0</v>
      </c>
      <c r="I138" s="26">
        <v>0</v>
      </c>
      <c r="J138" s="22"/>
    </row>
    <row r="139" spans="2:10" hidden="1" x14ac:dyDescent="0.3">
      <c r="B139" s="11">
        <v>23</v>
      </c>
      <c r="C139" s="17" t="s">
        <v>35</v>
      </c>
      <c r="D139" s="24"/>
      <c r="E139" s="24"/>
      <c r="F139" s="25">
        <f t="shared" si="18"/>
        <v>0</v>
      </c>
      <c r="G139" s="24">
        <f t="shared" si="20"/>
        <v>0</v>
      </c>
      <c r="H139" s="12">
        <v>0</v>
      </c>
      <c r="I139" s="26">
        <v>0</v>
      </c>
      <c r="J139" s="22"/>
    </row>
    <row r="140" spans="2:10" hidden="1" x14ac:dyDescent="0.3">
      <c r="B140" s="11">
        <v>24</v>
      </c>
      <c r="C140" s="17" t="s">
        <v>36</v>
      </c>
      <c r="D140" s="24"/>
      <c r="E140" s="24"/>
      <c r="F140" s="25">
        <f t="shared" si="18"/>
        <v>0</v>
      </c>
      <c r="G140" s="24">
        <f t="shared" si="20"/>
        <v>0</v>
      </c>
      <c r="H140" s="12">
        <v>0</v>
      </c>
      <c r="I140" s="26">
        <v>0</v>
      </c>
      <c r="J140" s="22"/>
    </row>
    <row r="141" spans="2:10" hidden="1" x14ac:dyDescent="0.3">
      <c r="B141" s="11">
        <v>25</v>
      </c>
      <c r="C141" s="18" t="s">
        <v>37</v>
      </c>
      <c r="D141" s="24"/>
      <c r="E141" s="24"/>
      <c r="F141" s="25">
        <f t="shared" si="18"/>
        <v>0</v>
      </c>
      <c r="G141" s="24">
        <f t="shared" si="20"/>
        <v>0</v>
      </c>
      <c r="H141" s="12">
        <v>0</v>
      </c>
      <c r="I141" s="26">
        <v>0</v>
      </c>
      <c r="J141" s="22"/>
    </row>
    <row r="142" spans="2:10" hidden="1" x14ac:dyDescent="0.3">
      <c r="B142" s="28">
        <v>26</v>
      </c>
      <c r="C142" s="29" t="s">
        <v>38</v>
      </c>
      <c r="D142" s="30"/>
      <c r="E142" s="30"/>
      <c r="F142" s="31">
        <f t="shared" si="18"/>
        <v>0</v>
      </c>
      <c r="G142" s="30">
        <f t="shared" si="20"/>
        <v>0</v>
      </c>
      <c r="H142" s="32">
        <v>0</v>
      </c>
      <c r="I142" s="33">
        <v>0</v>
      </c>
      <c r="J142" s="22"/>
    </row>
    <row r="143" spans="2:10" x14ac:dyDescent="0.3">
      <c r="B143" s="5"/>
      <c r="C143" s="5"/>
      <c r="D143" s="6"/>
      <c r="E143" s="6"/>
      <c r="F143" s="6"/>
      <c r="G143" s="6"/>
      <c r="H143" s="7"/>
      <c r="I143" s="6"/>
      <c r="J143" s="5"/>
    </row>
    <row r="144" spans="2:10" x14ac:dyDescent="0.3">
      <c r="B144" s="8" t="s">
        <v>39</v>
      </c>
      <c r="C144" s="5"/>
      <c r="D144" s="5"/>
      <c r="E144" s="5"/>
      <c r="F144" s="5"/>
      <c r="G144" s="5"/>
      <c r="H144" s="5"/>
      <c r="I144" s="5"/>
      <c r="J144" s="5"/>
    </row>
    <row r="145" spans="2:10" x14ac:dyDescent="0.3">
      <c r="B145" s="9" t="s">
        <v>40</v>
      </c>
      <c r="C145" s="5"/>
      <c r="D145" s="5"/>
      <c r="E145" s="5"/>
      <c r="F145" s="5"/>
      <c r="G145" s="5"/>
      <c r="H145" s="5"/>
      <c r="I145" s="5"/>
      <c r="J145" s="5"/>
    </row>
    <row r="146" spans="2:10" x14ac:dyDescent="0.3">
      <c r="B146" s="9" t="s">
        <v>41</v>
      </c>
      <c r="C146" s="5"/>
      <c r="D146" s="5"/>
      <c r="E146" s="5"/>
      <c r="F146" s="5"/>
      <c r="G146" s="5"/>
      <c r="H146" s="5"/>
      <c r="I146" s="5"/>
      <c r="J146" s="5"/>
    </row>
    <row r="147" spans="2:10" x14ac:dyDescent="0.3">
      <c r="B147" s="9" t="s">
        <v>42</v>
      </c>
      <c r="C147" s="5"/>
      <c r="D147" s="5"/>
      <c r="E147" s="5"/>
      <c r="F147" s="5"/>
      <c r="G147" s="5"/>
      <c r="H147" s="5"/>
      <c r="I147" s="5"/>
      <c r="J147" s="5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094C-6781-44F2-AF41-3057FB8003D6}">
  <sheetPr codeName="Sheet9"/>
  <dimension ref="B3:L147"/>
  <sheetViews>
    <sheetView topLeftCell="A119" workbookViewId="0">
      <selection activeCell="A131" sqref="A131:XFD142"/>
    </sheetView>
  </sheetViews>
  <sheetFormatPr defaultColWidth="9" defaultRowHeight="14.4" x14ac:dyDescent="0.3"/>
  <cols>
    <col min="1" max="1" width="2" style="3" customWidth="1"/>
    <col min="2" max="2" width="7.625" style="3" customWidth="1"/>
    <col min="3" max="3" width="25.625" style="3" customWidth="1"/>
    <col min="4" max="4" width="18.625" style="41" customWidth="1"/>
    <col min="5" max="5" width="13" style="41" customWidth="1"/>
    <col min="6" max="6" width="14.875" style="41" customWidth="1"/>
    <col min="7" max="7" width="14.625" style="41" customWidth="1"/>
    <col min="8" max="9" width="13" style="41" customWidth="1"/>
    <col min="10" max="10" width="9" style="41"/>
    <col min="11" max="11" width="9" style="3"/>
    <col min="12" max="12" width="11.625" style="3" customWidth="1"/>
    <col min="13" max="16384" width="9" style="3"/>
  </cols>
  <sheetData>
    <row r="3" spans="2:12" s="37" customFormat="1" ht="18" x14ac:dyDescent="0.35">
      <c r="B3" s="27"/>
      <c r="C3" s="27"/>
      <c r="D3" s="144" t="s">
        <v>54</v>
      </c>
      <c r="E3" s="144"/>
      <c r="F3" s="144"/>
      <c r="G3" s="144"/>
      <c r="H3" s="144"/>
      <c r="I3" s="144"/>
      <c r="J3" s="63"/>
      <c r="K3" s="38"/>
      <c r="L3" s="2"/>
    </row>
    <row r="4" spans="2:12" ht="15.9" customHeight="1" x14ac:dyDescent="0.3">
      <c r="B4" s="128" t="s">
        <v>84</v>
      </c>
      <c r="C4" s="128"/>
      <c r="D4" s="128"/>
      <c r="E4" s="128"/>
      <c r="F4" s="128"/>
      <c r="G4" s="128"/>
      <c r="H4" s="128"/>
      <c r="I4" s="128"/>
      <c r="J4" s="128"/>
      <c r="K4" s="1"/>
      <c r="L4" s="2"/>
    </row>
    <row r="5" spans="2:12" ht="14.4" customHeight="1" x14ac:dyDescent="0.3">
      <c r="B5" s="15"/>
      <c r="C5" s="16"/>
      <c r="D5" s="118" t="s">
        <v>6</v>
      </c>
      <c r="E5" s="119"/>
      <c r="F5" s="119"/>
      <c r="G5" s="120"/>
      <c r="H5" s="121" t="s">
        <v>7</v>
      </c>
      <c r="I5" s="122"/>
      <c r="J5" s="64"/>
      <c r="K5" s="1"/>
      <c r="L5" s="2"/>
    </row>
    <row r="6" spans="2:12" x14ac:dyDescent="0.3">
      <c r="B6" s="13"/>
      <c r="C6" s="14"/>
      <c r="D6" s="125" t="s">
        <v>9</v>
      </c>
      <c r="E6" s="126"/>
      <c r="F6" s="126"/>
      <c r="G6" s="127"/>
      <c r="H6" s="123"/>
      <c r="I6" s="124"/>
      <c r="J6" s="64"/>
      <c r="K6" s="1"/>
      <c r="L6" s="2"/>
    </row>
    <row r="7" spans="2:12" ht="18.899999999999999" customHeight="1" x14ac:dyDescent="0.3">
      <c r="B7" s="132" t="s">
        <v>10</v>
      </c>
      <c r="C7" s="134" t="s">
        <v>11</v>
      </c>
      <c r="D7" s="62" t="s">
        <v>12</v>
      </c>
      <c r="E7" s="62" t="s">
        <v>13</v>
      </c>
      <c r="F7" s="62" t="s">
        <v>14</v>
      </c>
      <c r="G7" s="62" t="s">
        <v>15</v>
      </c>
      <c r="H7" s="136" t="s">
        <v>16</v>
      </c>
      <c r="I7" s="138" t="s">
        <v>17</v>
      </c>
      <c r="J7" s="65"/>
      <c r="K7" s="1"/>
      <c r="L7" s="2"/>
    </row>
    <row r="8" spans="2:12" ht="32.4" customHeight="1" x14ac:dyDescent="0.3">
      <c r="B8" s="133"/>
      <c r="C8" s="135"/>
      <c r="D8" s="145" t="s">
        <v>20</v>
      </c>
      <c r="E8" s="146"/>
      <c r="F8" s="146"/>
      <c r="G8" s="147"/>
      <c r="H8" s="137"/>
      <c r="I8" s="139"/>
      <c r="J8" s="65"/>
      <c r="K8" s="1"/>
    </row>
    <row r="9" spans="2:12" x14ac:dyDescent="0.3">
      <c r="B9" s="42">
        <v>4</v>
      </c>
      <c r="C9" s="40" t="s">
        <v>21</v>
      </c>
      <c r="D9" s="21">
        <v>180929.31</v>
      </c>
      <c r="E9" s="21">
        <v>0</v>
      </c>
      <c r="F9" s="45">
        <f>+D9+E9</f>
        <v>180929.31</v>
      </c>
      <c r="G9" s="21">
        <f>+F9</f>
        <v>180929.31</v>
      </c>
      <c r="H9" s="46">
        <f>((G9-I11)/I11)*100</f>
        <v>-72.615433999046857</v>
      </c>
      <c r="I9" s="21">
        <v>31440</v>
      </c>
      <c r="J9" s="47"/>
      <c r="K9" s="1"/>
    </row>
    <row r="10" spans="2:12" x14ac:dyDescent="0.3">
      <c r="B10" s="42">
        <v>5</v>
      </c>
      <c r="C10" s="40" t="s">
        <v>22</v>
      </c>
      <c r="D10" s="26">
        <v>93255.93</v>
      </c>
      <c r="E10" s="26">
        <v>0</v>
      </c>
      <c r="F10" s="49">
        <f>+E10+D10</f>
        <v>93255.93</v>
      </c>
      <c r="G10" s="26">
        <f>+G9+F10</f>
        <v>274185.24</v>
      </c>
      <c r="H10" s="50">
        <f t="shared" ref="H10:H16" si="0">((G10-I10)/I10)*100</f>
        <v>-45.998035144408966</v>
      </c>
      <c r="I10" s="21">
        <f>+I9+476291.97</f>
        <v>507731.97</v>
      </c>
      <c r="J10" s="47"/>
      <c r="K10" s="1"/>
    </row>
    <row r="11" spans="2:12" x14ac:dyDescent="0.3">
      <c r="B11" s="42">
        <v>6</v>
      </c>
      <c r="C11" s="40" t="s">
        <v>23</v>
      </c>
      <c r="D11" s="26">
        <v>242659.54</v>
      </c>
      <c r="E11" s="26">
        <v>0</v>
      </c>
      <c r="F11" s="49">
        <f>+E11+D11</f>
        <v>242659.54</v>
      </c>
      <c r="G11" s="26">
        <f t="shared" ref="G11:G31" si="1">+G10+F11</f>
        <v>516844.78</v>
      </c>
      <c r="H11" s="50">
        <f t="shared" si="0"/>
        <v>-21.772928940268947</v>
      </c>
      <c r="I11" s="21">
        <f>+I10+152966.14</f>
        <v>660698.11</v>
      </c>
      <c r="J11" s="47"/>
      <c r="K11" s="1"/>
    </row>
    <row r="12" spans="2:12" x14ac:dyDescent="0.3">
      <c r="B12" s="42">
        <v>7</v>
      </c>
      <c r="C12" s="40" t="s">
        <v>24</v>
      </c>
      <c r="D12" s="26">
        <v>60050.02</v>
      </c>
      <c r="E12" s="26">
        <v>110420.5</v>
      </c>
      <c r="F12" s="49">
        <f t="shared" ref="F12:F31" si="2">+E12+D12</f>
        <v>170470.52</v>
      </c>
      <c r="G12" s="26">
        <f>+G11+F12</f>
        <v>687315.3</v>
      </c>
      <c r="H12" s="50">
        <f t="shared" si="0"/>
        <v>-20.094544662219896</v>
      </c>
      <c r="I12" s="26">
        <f>+I11+199462.56</f>
        <v>860160.66999999993</v>
      </c>
      <c r="J12" s="47"/>
      <c r="K12" s="1"/>
    </row>
    <row r="13" spans="2:12" x14ac:dyDescent="0.3">
      <c r="B13" s="42">
        <v>8</v>
      </c>
      <c r="C13" s="40" t="s">
        <v>25</v>
      </c>
      <c r="D13" s="26">
        <v>212440.55</v>
      </c>
      <c r="E13" s="26">
        <v>0</v>
      </c>
      <c r="F13" s="49">
        <f t="shared" si="2"/>
        <v>212440.55</v>
      </c>
      <c r="G13" s="26">
        <f t="shared" ref="G13:G14" si="3">+G12+F13</f>
        <v>899755.85000000009</v>
      </c>
      <c r="H13" s="50">
        <f t="shared" si="0"/>
        <v>-10.562986806051315</v>
      </c>
      <c r="I13" s="26">
        <v>1006021.8</v>
      </c>
      <c r="J13" s="47"/>
      <c r="K13" s="1"/>
      <c r="L13" s="41"/>
    </row>
    <row r="14" spans="2:12" x14ac:dyDescent="0.3">
      <c r="B14" s="42">
        <v>9</v>
      </c>
      <c r="C14" s="40" t="s">
        <v>26</v>
      </c>
      <c r="D14" s="26">
        <v>66821.509999999995</v>
      </c>
      <c r="E14" s="26">
        <v>0</v>
      </c>
      <c r="F14" s="49">
        <f t="shared" si="2"/>
        <v>66821.509999999995</v>
      </c>
      <c r="G14" s="26">
        <f t="shared" si="3"/>
        <v>966577.3600000001</v>
      </c>
      <c r="H14" s="50">
        <f t="shared" si="0"/>
        <v>-25.496879278215111</v>
      </c>
      <c r="I14" s="26">
        <f>+I13+291343.13</f>
        <v>1297364.9300000002</v>
      </c>
      <c r="J14" s="47"/>
      <c r="K14" s="1"/>
    </row>
    <row r="15" spans="2:12" x14ac:dyDescent="0.3">
      <c r="B15" s="42">
        <v>10</v>
      </c>
      <c r="C15" s="40" t="s">
        <v>67</v>
      </c>
      <c r="D15" s="26">
        <v>298695</v>
      </c>
      <c r="E15" s="26">
        <v>0</v>
      </c>
      <c r="F15" s="49">
        <f t="shared" si="2"/>
        <v>298695</v>
      </c>
      <c r="G15" s="26">
        <f>+G14+F15</f>
        <v>1265272.3600000001</v>
      </c>
      <c r="H15" s="50">
        <f t="shared" si="0"/>
        <v>-15.641341659329663</v>
      </c>
      <c r="I15" s="26">
        <f>+I14+202507.62</f>
        <v>1499872.5500000003</v>
      </c>
      <c r="J15" s="47"/>
      <c r="K15" s="1"/>
    </row>
    <row r="16" spans="2:12" x14ac:dyDescent="0.3">
      <c r="B16" s="42">
        <v>11</v>
      </c>
      <c r="C16" s="40" t="s">
        <v>68</v>
      </c>
      <c r="D16" s="26">
        <v>166581.51999999999</v>
      </c>
      <c r="E16" s="26">
        <v>0</v>
      </c>
      <c r="F16" s="49">
        <f t="shared" si="2"/>
        <v>166581.51999999999</v>
      </c>
      <c r="G16" s="26">
        <f>+G15+F16</f>
        <v>1431853.8800000001</v>
      </c>
      <c r="H16" s="50">
        <f t="shared" si="0"/>
        <v>-16.598393271832361</v>
      </c>
      <c r="I16" s="26">
        <f>+I15+216945.55</f>
        <v>1716818.1000000003</v>
      </c>
      <c r="J16" s="47"/>
      <c r="K16" s="1"/>
    </row>
    <row r="17" spans="2:12" x14ac:dyDescent="0.3">
      <c r="B17" s="42">
        <v>12</v>
      </c>
      <c r="C17" s="40" t="s">
        <v>83</v>
      </c>
      <c r="D17" s="26">
        <v>199776.5</v>
      </c>
      <c r="E17" s="26">
        <v>0</v>
      </c>
      <c r="F17" s="49">
        <f t="shared" si="2"/>
        <v>199776.5</v>
      </c>
      <c r="G17" s="26">
        <f t="shared" ref="G17:G19" si="4">+G16+F17</f>
        <v>1631630.3800000001</v>
      </c>
      <c r="H17" s="50">
        <f>((G17-I17)/I17)*100</f>
        <v>-20.153869183320005</v>
      </c>
      <c r="I17" s="26">
        <f>+I16+326650.21</f>
        <v>2043468.3100000003</v>
      </c>
      <c r="J17" s="47"/>
      <c r="K17" s="1"/>
    </row>
    <row r="18" spans="2:12" x14ac:dyDescent="0.3">
      <c r="B18" s="42">
        <v>13</v>
      </c>
      <c r="C18" s="40" t="s">
        <v>69</v>
      </c>
      <c r="D18" s="26">
        <v>228932</v>
      </c>
      <c r="E18" s="26">
        <v>0</v>
      </c>
      <c r="F18" s="49">
        <f t="shared" si="2"/>
        <v>228932</v>
      </c>
      <c r="G18" s="26">
        <f t="shared" si="4"/>
        <v>1860562.3800000001</v>
      </c>
      <c r="H18" s="50">
        <f>((G18-I18)/I18)*100</f>
        <v>-12.750617441607393</v>
      </c>
      <c r="I18" s="26">
        <v>2132464.81</v>
      </c>
      <c r="J18" s="47"/>
      <c r="K18" s="1"/>
    </row>
    <row r="19" spans="2:12" x14ac:dyDescent="0.3">
      <c r="B19" s="42">
        <v>14</v>
      </c>
      <c r="C19" s="86" t="s">
        <v>70</v>
      </c>
      <c r="D19" s="26">
        <v>44366.51</v>
      </c>
      <c r="E19" s="26">
        <v>0</v>
      </c>
      <c r="F19" s="49">
        <f t="shared" si="2"/>
        <v>44366.51</v>
      </c>
      <c r="G19" s="26">
        <f t="shared" si="4"/>
        <v>1904928.8900000001</v>
      </c>
      <c r="H19" s="50">
        <f>((G19-I19)/I19)*100</f>
        <v>-15.61024887949484</v>
      </c>
      <c r="I19" s="26">
        <f>+I18+124834.05</f>
        <v>2257298.86</v>
      </c>
      <c r="J19" s="47"/>
      <c r="K19" s="1"/>
    </row>
    <row r="20" spans="2:12" hidden="1" x14ac:dyDescent="0.3">
      <c r="B20" s="11">
        <v>15</v>
      </c>
      <c r="C20" s="17" t="s">
        <v>27</v>
      </c>
      <c r="D20" s="26"/>
      <c r="E20" s="26"/>
      <c r="F20" s="49">
        <f t="shared" si="2"/>
        <v>0</v>
      </c>
      <c r="G20" s="26">
        <f t="shared" si="1"/>
        <v>1904928.8900000001</v>
      </c>
      <c r="H20" s="50">
        <v>0</v>
      </c>
      <c r="I20" s="26">
        <v>0</v>
      </c>
      <c r="J20" s="47"/>
      <c r="K20" s="1"/>
    </row>
    <row r="21" spans="2:12" hidden="1" x14ac:dyDescent="0.3">
      <c r="B21" s="11">
        <v>16</v>
      </c>
      <c r="C21" s="17" t="s">
        <v>28</v>
      </c>
      <c r="D21" s="26"/>
      <c r="E21" s="26"/>
      <c r="F21" s="49">
        <f t="shared" si="2"/>
        <v>0</v>
      </c>
      <c r="G21" s="26">
        <f t="shared" si="1"/>
        <v>1904928.8900000001</v>
      </c>
      <c r="H21" s="50">
        <v>0</v>
      </c>
      <c r="I21" s="26">
        <v>0</v>
      </c>
      <c r="J21" s="47"/>
      <c r="K21" s="1"/>
    </row>
    <row r="22" spans="2:12" hidden="1" x14ac:dyDescent="0.3">
      <c r="B22" s="11">
        <v>17</v>
      </c>
      <c r="C22" s="17" t="s">
        <v>29</v>
      </c>
      <c r="D22" s="26"/>
      <c r="E22" s="26"/>
      <c r="F22" s="49">
        <f t="shared" si="2"/>
        <v>0</v>
      </c>
      <c r="G22" s="26">
        <f t="shared" si="1"/>
        <v>1904928.8900000001</v>
      </c>
      <c r="H22" s="50">
        <v>0</v>
      </c>
      <c r="I22" s="26">
        <v>0</v>
      </c>
      <c r="J22" s="47"/>
      <c r="K22" s="1"/>
    </row>
    <row r="23" spans="2:12" hidden="1" x14ac:dyDescent="0.3">
      <c r="B23" s="11">
        <v>18</v>
      </c>
      <c r="C23" s="17" t="s">
        <v>30</v>
      </c>
      <c r="D23" s="26"/>
      <c r="E23" s="26"/>
      <c r="F23" s="49">
        <f t="shared" si="2"/>
        <v>0</v>
      </c>
      <c r="G23" s="26">
        <f t="shared" si="1"/>
        <v>1904928.8900000001</v>
      </c>
      <c r="H23" s="50">
        <v>0</v>
      </c>
      <c r="I23" s="26">
        <v>0</v>
      </c>
      <c r="J23" s="47"/>
      <c r="K23" s="1"/>
    </row>
    <row r="24" spans="2:12" hidden="1" x14ac:dyDescent="0.3">
      <c r="B24" s="11">
        <v>19</v>
      </c>
      <c r="C24" s="17" t="s">
        <v>31</v>
      </c>
      <c r="D24" s="26"/>
      <c r="E24" s="26"/>
      <c r="F24" s="49">
        <f t="shared" si="2"/>
        <v>0</v>
      </c>
      <c r="G24" s="26">
        <f t="shared" si="1"/>
        <v>1904928.8900000001</v>
      </c>
      <c r="H24" s="50">
        <v>0</v>
      </c>
      <c r="I24" s="26">
        <v>0</v>
      </c>
      <c r="J24" s="47"/>
      <c r="K24" s="1"/>
    </row>
    <row r="25" spans="2:12" hidden="1" x14ac:dyDescent="0.3">
      <c r="B25" s="11">
        <v>20</v>
      </c>
      <c r="C25" s="17" t="s">
        <v>32</v>
      </c>
      <c r="D25" s="26"/>
      <c r="E25" s="26"/>
      <c r="F25" s="49">
        <f t="shared" si="2"/>
        <v>0</v>
      </c>
      <c r="G25" s="26">
        <f t="shared" si="1"/>
        <v>1904928.8900000001</v>
      </c>
      <c r="H25" s="50">
        <v>0</v>
      </c>
      <c r="I25" s="26">
        <v>0</v>
      </c>
      <c r="J25" s="47"/>
      <c r="K25" s="1"/>
    </row>
    <row r="26" spans="2:12" hidden="1" x14ac:dyDescent="0.3">
      <c r="B26" s="11">
        <v>21</v>
      </c>
      <c r="C26" s="17" t="s">
        <v>33</v>
      </c>
      <c r="D26" s="26"/>
      <c r="E26" s="26"/>
      <c r="F26" s="49">
        <f t="shared" si="2"/>
        <v>0</v>
      </c>
      <c r="G26" s="26">
        <f t="shared" si="1"/>
        <v>1904928.8900000001</v>
      </c>
      <c r="H26" s="50">
        <v>0</v>
      </c>
      <c r="I26" s="26">
        <v>0</v>
      </c>
      <c r="J26" s="47"/>
      <c r="K26" s="1"/>
    </row>
    <row r="27" spans="2:12" hidden="1" x14ac:dyDescent="0.3">
      <c r="B27" s="11">
        <v>22</v>
      </c>
      <c r="C27" s="17" t="s">
        <v>34</v>
      </c>
      <c r="D27" s="26"/>
      <c r="E27" s="26"/>
      <c r="F27" s="49">
        <f t="shared" si="2"/>
        <v>0</v>
      </c>
      <c r="G27" s="26">
        <f t="shared" si="1"/>
        <v>1904928.8900000001</v>
      </c>
      <c r="H27" s="50">
        <v>0</v>
      </c>
      <c r="I27" s="26">
        <v>0</v>
      </c>
      <c r="J27" s="47"/>
      <c r="K27" s="1"/>
    </row>
    <row r="28" spans="2:12" hidden="1" x14ac:dyDescent="0.3">
      <c r="B28" s="11">
        <v>23</v>
      </c>
      <c r="C28" s="17" t="s">
        <v>35</v>
      </c>
      <c r="D28" s="26"/>
      <c r="E28" s="26"/>
      <c r="F28" s="49">
        <f t="shared" si="2"/>
        <v>0</v>
      </c>
      <c r="G28" s="26">
        <f t="shared" si="1"/>
        <v>1904928.8900000001</v>
      </c>
      <c r="H28" s="50">
        <v>0</v>
      </c>
      <c r="I28" s="26">
        <v>0</v>
      </c>
      <c r="J28" s="47"/>
      <c r="K28" s="1"/>
    </row>
    <row r="29" spans="2:12" hidden="1" x14ac:dyDescent="0.3">
      <c r="B29" s="11">
        <v>24</v>
      </c>
      <c r="C29" s="17" t="s">
        <v>36</v>
      </c>
      <c r="D29" s="26"/>
      <c r="E29" s="26"/>
      <c r="F29" s="49">
        <f t="shared" si="2"/>
        <v>0</v>
      </c>
      <c r="G29" s="26">
        <f t="shared" si="1"/>
        <v>1904928.8900000001</v>
      </c>
      <c r="H29" s="50">
        <v>0</v>
      </c>
      <c r="I29" s="26">
        <v>0</v>
      </c>
      <c r="J29" s="47"/>
      <c r="K29" s="1"/>
    </row>
    <row r="30" spans="2:12" hidden="1" x14ac:dyDescent="0.3">
      <c r="B30" s="11">
        <v>25</v>
      </c>
      <c r="C30" s="18" t="s">
        <v>37</v>
      </c>
      <c r="D30" s="26"/>
      <c r="E30" s="26"/>
      <c r="F30" s="49">
        <f t="shared" si="2"/>
        <v>0</v>
      </c>
      <c r="G30" s="26">
        <f t="shared" si="1"/>
        <v>1904928.8900000001</v>
      </c>
      <c r="H30" s="50">
        <v>0</v>
      </c>
      <c r="I30" s="26">
        <v>0</v>
      </c>
      <c r="J30" s="47"/>
      <c r="K30" s="1"/>
    </row>
    <row r="31" spans="2:12" hidden="1" x14ac:dyDescent="0.3">
      <c r="B31" s="28">
        <v>26</v>
      </c>
      <c r="C31" s="29" t="s">
        <v>38</v>
      </c>
      <c r="D31" s="33"/>
      <c r="E31" s="33"/>
      <c r="F31" s="66">
        <f t="shared" si="2"/>
        <v>0</v>
      </c>
      <c r="G31" s="33">
        <f t="shared" si="1"/>
        <v>1904928.8900000001</v>
      </c>
      <c r="H31" s="67">
        <v>0</v>
      </c>
      <c r="I31" s="33">
        <v>0</v>
      </c>
      <c r="J31" s="47"/>
      <c r="K31" s="1"/>
    </row>
    <row r="32" spans="2:12" x14ac:dyDescent="0.3">
      <c r="B32" s="5"/>
      <c r="C32" s="5"/>
      <c r="D32" s="6"/>
      <c r="E32" s="6"/>
      <c r="F32" s="6"/>
      <c r="G32" s="6"/>
      <c r="H32" s="6"/>
      <c r="I32" s="6"/>
      <c r="J32" s="6"/>
      <c r="K32" s="1"/>
      <c r="L32" s="39"/>
    </row>
    <row r="33" spans="2:11" x14ac:dyDescent="0.3">
      <c r="B33" s="8" t="s">
        <v>39</v>
      </c>
      <c r="C33" s="5"/>
      <c r="D33" s="6"/>
      <c r="E33" s="6"/>
      <c r="F33" s="6"/>
      <c r="G33" s="6"/>
      <c r="H33" s="6"/>
      <c r="I33" s="6"/>
      <c r="J33" s="6"/>
      <c r="K33" s="1"/>
    </row>
    <row r="34" spans="2:11" x14ac:dyDescent="0.3">
      <c r="B34" s="9" t="s">
        <v>40</v>
      </c>
      <c r="C34" s="5"/>
      <c r="D34" s="6"/>
      <c r="E34" s="6"/>
      <c r="F34" s="6"/>
      <c r="G34" s="6"/>
      <c r="H34" s="6"/>
      <c r="I34" s="6"/>
      <c r="J34" s="6"/>
      <c r="K34" s="1"/>
    </row>
    <row r="35" spans="2:11" x14ac:dyDescent="0.3">
      <c r="B35" s="9" t="s">
        <v>41</v>
      </c>
      <c r="C35" s="5"/>
      <c r="D35" s="6"/>
      <c r="E35" s="6"/>
      <c r="F35" s="6"/>
      <c r="G35" s="6"/>
      <c r="H35" s="6"/>
      <c r="I35" s="6"/>
      <c r="J35" s="6"/>
      <c r="K35" s="1"/>
    </row>
    <row r="36" spans="2:11" x14ac:dyDescent="0.3">
      <c r="B36" s="9" t="s">
        <v>42</v>
      </c>
      <c r="C36" s="5"/>
      <c r="D36" s="6"/>
      <c r="E36" s="6"/>
      <c r="F36" s="6"/>
      <c r="G36" s="6"/>
      <c r="H36" s="6"/>
      <c r="I36" s="6"/>
      <c r="J36" s="6"/>
      <c r="K36" s="1"/>
    </row>
    <row r="37" spans="2:11" x14ac:dyDescent="0.3">
      <c r="B37" s="9"/>
      <c r="C37" s="5"/>
      <c r="D37" s="6"/>
      <c r="E37" s="6"/>
      <c r="F37" s="6"/>
      <c r="G37" s="6"/>
      <c r="H37" s="6"/>
      <c r="I37" s="6"/>
      <c r="J37" s="6"/>
      <c r="K37" s="1"/>
    </row>
    <row r="38" spans="2:11" x14ac:dyDescent="0.3">
      <c r="B38" s="9"/>
      <c r="C38" s="5"/>
      <c r="D38" s="6"/>
      <c r="E38" s="6"/>
      <c r="F38" s="6"/>
      <c r="G38" s="6"/>
      <c r="H38" s="6"/>
      <c r="I38" s="6"/>
      <c r="J38" s="6"/>
      <c r="K38" s="1"/>
    </row>
    <row r="39" spans="2:11" ht="18" x14ac:dyDescent="0.35">
      <c r="B39" s="10"/>
      <c r="C39" s="10"/>
      <c r="D39" s="116" t="s">
        <v>43</v>
      </c>
      <c r="E39" s="116"/>
      <c r="F39" s="116"/>
      <c r="G39" s="116"/>
      <c r="H39" s="116"/>
      <c r="I39" s="116"/>
      <c r="J39" s="44"/>
    </row>
    <row r="40" spans="2:11" s="37" customFormat="1" ht="18" x14ac:dyDescent="0.35">
      <c r="B40" s="27"/>
      <c r="C40" s="27"/>
      <c r="D40" s="173" t="s">
        <v>54</v>
      </c>
      <c r="E40" s="173"/>
      <c r="F40" s="173"/>
      <c r="G40" s="173"/>
      <c r="H40" s="173"/>
      <c r="I40" s="173"/>
      <c r="J40" s="63"/>
    </row>
    <row r="41" spans="2:11" ht="15.9" customHeight="1" x14ac:dyDescent="0.3">
      <c r="B41" s="128" t="s">
        <v>84</v>
      </c>
      <c r="C41" s="128"/>
      <c r="D41" s="128"/>
      <c r="E41" s="128"/>
      <c r="F41" s="128"/>
      <c r="G41" s="128"/>
      <c r="H41" s="128"/>
      <c r="I41" s="128"/>
      <c r="J41" s="128"/>
    </row>
    <row r="42" spans="2:11" ht="14.4" customHeight="1" x14ac:dyDescent="0.3">
      <c r="B42" s="15"/>
      <c r="C42" s="16"/>
      <c r="D42" s="118" t="s">
        <v>6</v>
      </c>
      <c r="E42" s="119"/>
      <c r="F42" s="119"/>
      <c r="G42" s="120"/>
      <c r="H42" s="121" t="s">
        <v>7</v>
      </c>
      <c r="I42" s="122"/>
      <c r="J42" s="64"/>
    </row>
    <row r="43" spans="2:11" x14ac:dyDescent="0.3">
      <c r="B43" s="13"/>
      <c r="C43" s="14"/>
      <c r="D43" s="125" t="s">
        <v>9</v>
      </c>
      <c r="E43" s="126"/>
      <c r="F43" s="126"/>
      <c r="G43" s="127"/>
      <c r="H43" s="123"/>
      <c r="I43" s="124"/>
      <c r="J43" s="64"/>
    </row>
    <row r="44" spans="2:11" ht="14.4" customHeight="1" x14ac:dyDescent="0.3">
      <c r="B44" s="132" t="s">
        <v>10</v>
      </c>
      <c r="C44" s="134" t="s">
        <v>11</v>
      </c>
      <c r="D44" s="62" t="s">
        <v>12</v>
      </c>
      <c r="E44" s="62" t="s">
        <v>13</v>
      </c>
      <c r="F44" s="62" t="s">
        <v>14</v>
      </c>
      <c r="G44" s="62" t="s">
        <v>15</v>
      </c>
      <c r="H44" s="136" t="s">
        <v>16</v>
      </c>
      <c r="I44" s="138" t="s">
        <v>17</v>
      </c>
      <c r="J44" s="65"/>
    </row>
    <row r="45" spans="2:11" ht="38.4" customHeight="1" x14ac:dyDescent="0.3">
      <c r="B45" s="133"/>
      <c r="C45" s="135"/>
      <c r="D45" s="145" t="s">
        <v>20</v>
      </c>
      <c r="E45" s="146"/>
      <c r="F45" s="146"/>
      <c r="G45" s="147"/>
      <c r="H45" s="137"/>
      <c r="I45" s="139"/>
      <c r="J45" s="65"/>
    </row>
    <row r="46" spans="2:11" x14ac:dyDescent="0.3">
      <c r="B46" s="42">
        <v>4</v>
      </c>
      <c r="C46" s="40" t="s">
        <v>21</v>
      </c>
      <c r="D46" s="21">
        <v>178440.81</v>
      </c>
      <c r="E46" s="21">
        <v>0</v>
      </c>
      <c r="F46" s="45">
        <f>+D46+E46</f>
        <v>178440.81</v>
      </c>
      <c r="G46" s="21">
        <f>+F46</f>
        <v>178440.81</v>
      </c>
      <c r="H46" s="46">
        <f t="shared" ref="H46:H53" si="5">((G46-I46)/I46)*100</f>
        <v>467.5598282442748</v>
      </c>
      <c r="I46" s="21">
        <v>31440</v>
      </c>
      <c r="J46" s="47"/>
    </row>
    <row r="47" spans="2:11" x14ac:dyDescent="0.3">
      <c r="B47" s="42">
        <v>5</v>
      </c>
      <c r="C47" s="40" t="s">
        <v>22</v>
      </c>
      <c r="D47" s="26">
        <v>71740.399999999994</v>
      </c>
      <c r="E47" s="26">
        <v>0</v>
      </c>
      <c r="F47" s="49">
        <f>+E47+D47</f>
        <v>71740.399999999994</v>
      </c>
      <c r="G47" s="26">
        <f>+G46+F47</f>
        <v>250181.21</v>
      </c>
      <c r="H47" s="50">
        <f t="shared" si="5"/>
        <v>24.575634243165592</v>
      </c>
      <c r="I47" s="26">
        <f>+I46+169386.76</f>
        <v>200826.76</v>
      </c>
      <c r="J47" s="47"/>
    </row>
    <row r="48" spans="2:11" x14ac:dyDescent="0.3">
      <c r="B48" s="42">
        <v>6</v>
      </c>
      <c r="C48" s="40" t="s">
        <v>23</v>
      </c>
      <c r="D48" s="26">
        <v>233351</v>
      </c>
      <c r="E48" s="26">
        <v>0</v>
      </c>
      <c r="F48" s="49">
        <f>+E48+D48</f>
        <v>233351</v>
      </c>
      <c r="G48" s="26">
        <f t="shared" ref="G48" si="6">+G47+F48</f>
        <v>483532.20999999996</v>
      </c>
      <c r="H48" s="50">
        <f t="shared" si="5"/>
        <v>88.683523925467185</v>
      </c>
      <c r="I48" s="26">
        <f>+I47+55439.5</f>
        <v>256266.26</v>
      </c>
      <c r="J48" s="47"/>
    </row>
    <row r="49" spans="2:10" x14ac:dyDescent="0.3">
      <c r="B49" s="42">
        <v>7</v>
      </c>
      <c r="C49" s="40" t="s">
        <v>24</v>
      </c>
      <c r="D49" s="26">
        <v>57485</v>
      </c>
      <c r="E49" s="26">
        <v>107820.5</v>
      </c>
      <c r="F49" s="49">
        <f t="shared" ref="F49:F68" si="7">+E49+D49</f>
        <v>165305.5</v>
      </c>
      <c r="G49" s="26">
        <f>+G48+F49</f>
        <v>648837.71</v>
      </c>
      <c r="H49" s="50">
        <f t="shared" si="5"/>
        <v>75.564505301344838</v>
      </c>
      <c r="I49" s="26">
        <f>+I48+113306</f>
        <v>369572.26</v>
      </c>
      <c r="J49" s="47"/>
    </row>
    <row r="50" spans="2:10" x14ac:dyDescent="0.3">
      <c r="B50" s="42">
        <v>8</v>
      </c>
      <c r="C50" s="40" t="s">
        <v>25</v>
      </c>
      <c r="D50" s="26">
        <v>203668</v>
      </c>
      <c r="E50" s="26">
        <v>0</v>
      </c>
      <c r="F50" s="49">
        <f t="shared" si="7"/>
        <v>203668</v>
      </c>
      <c r="G50" s="26">
        <f t="shared" ref="G50:G56" si="8">+G49+F50</f>
        <v>852505.71</v>
      </c>
      <c r="H50" s="50">
        <f t="shared" si="5"/>
        <v>97.920322896079838</v>
      </c>
      <c r="I50" s="26">
        <v>430731.77</v>
      </c>
      <c r="J50" s="47"/>
    </row>
    <row r="51" spans="2:10" x14ac:dyDescent="0.3">
      <c r="B51" s="42">
        <v>9</v>
      </c>
      <c r="C51" s="40" t="s">
        <v>26</v>
      </c>
      <c r="D51" s="26">
        <v>65282</v>
      </c>
      <c r="E51" s="26">
        <v>0</v>
      </c>
      <c r="F51" s="49">
        <f t="shared" si="7"/>
        <v>65282</v>
      </c>
      <c r="G51" s="26">
        <f t="shared" si="8"/>
        <v>917787.71</v>
      </c>
      <c r="H51" s="50">
        <f t="shared" si="5"/>
        <v>45.660291242907583</v>
      </c>
      <c r="I51" s="26">
        <f>+I50+199356.02</f>
        <v>630087.79</v>
      </c>
      <c r="J51" s="47"/>
    </row>
    <row r="52" spans="2:10" x14ac:dyDescent="0.3">
      <c r="B52" s="42">
        <v>10</v>
      </c>
      <c r="C52" s="40" t="s">
        <v>67</v>
      </c>
      <c r="D52" s="26">
        <v>278227.5</v>
      </c>
      <c r="E52" s="26">
        <v>0</v>
      </c>
      <c r="F52" s="49">
        <f t="shared" si="7"/>
        <v>278227.5</v>
      </c>
      <c r="G52" s="26">
        <f t="shared" si="8"/>
        <v>1196015.21</v>
      </c>
      <c r="H52" s="50">
        <f t="shared" si="5"/>
        <v>51.570979641348835</v>
      </c>
      <c r="I52" s="26">
        <f>+I51+158991.5</f>
        <v>789079.29</v>
      </c>
      <c r="J52" s="47"/>
    </row>
    <row r="53" spans="2:10" x14ac:dyDescent="0.3">
      <c r="B53" s="42">
        <v>11</v>
      </c>
      <c r="C53" s="40" t="s">
        <v>68</v>
      </c>
      <c r="D53" s="26">
        <v>161506.51</v>
      </c>
      <c r="E53" s="26">
        <v>0</v>
      </c>
      <c r="F53" s="49">
        <f t="shared" si="7"/>
        <v>161506.51</v>
      </c>
      <c r="G53" s="26">
        <f t="shared" si="8"/>
        <v>1357521.72</v>
      </c>
      <c r="H53" s="50">
        <f t="shared" si="5"/>
        <v>43.713801639803812</v>
      </c>
      <c r="I53" s="26">
        <f>+I52+155521.51</f>
        <v>944600.8</v>
      </c>
      <c r="J53" s="47"/>
    </row>
    <row r="54" spans="2:10" x14ac:dyDescent="0.3">
      <c r="B54" s="42">
        <v>12</v>
      </c>
      <c r="C54" s="40" t="s">
        <v>83</v>
      </c>
      <c r="D54" s="26">
        <v>160145.5</v>
      </c>
      <c r="E54" s="26">
        <v>0</v>
      </c>
      <c r="F54" s="49">
        <f t="shared" si="7"/>
        <v>160145.5</v>
      </c>
      <c r="G54" s="26">
        <f t="shared" si="8"/>
        <v>1517667.22</v>
      </c>
      <c r="H54" s="50">
        <f>((G54-I54)/I54)*100</f>
        <v>35.297035514362342</v>
      </c>
      <c r="I54" s="26">
        <f>+I53+177129.04</f>
        <v>1121729.8400000001</v>
      </c>
      <c r="J54" s="47"/>
    </row>
    <row r="55" spans="2:10" x14ac:dyDescent="0.3">
      <c r="B55" s="42">
        <v>13</v>
      </c>
      <c r="C55" s="40" t="s">
        <v>69</v>
      </c>
      <c r="D55" s="26">
        <v>204445.5</v>
      </c>
      <c r="E55" s="26">
        <v>0</v>
      </c>
      <c r="F55" s="49">
        <f t="shared" si="7"/>
        <v>204445.5</v>
      </c>
      <c r="G55" s="26">
        <f t="shared" si="8"/>
        <v>1722112.72</v>
      </c>
      <c r="H55" s="50">
        <f>((G55-I55)/I55)*100</f>
        <v>42.945670405095946</v>
      </c>
      <c r="I55" s="26">
        <v>1204732.3400000001</v>
      </c>
      <c r="J55" s="47"/>
    </row>
    <row r="56" spans="2:10" x14ac:dyDescent="0.3">
      <c r="B56" s="42">
        <v>14</v>
      </c>
      <c r="C56" s="86" t="s">
        <v>70</v>
      </c>
      <c r="D56" s="26">
        <v>40266.51</v>
      </c>
      <c r="E56" s="26">
        <v>0</v>
      </c>
      <c r="F56" s="49">
        <f t="shared" si="7"/>
        <v>40266.51</v>
      </c>
      <c r="G56" s="26">
        <f t="shared" si="8"/>
        <v>1762379.23</v>
      </c>
      <c r="H56" s="50">
        <f>((G56-I56)/I56)*100</f>
        <v>36.978635247057674</v>
      </c>
      <c r="I56" s="26">
        <f>+I55+81876.5</f>
        <v>1286608.8400000001</v>
      </c>
      <c r="J56" s="47"/>
    </row>
    <row r="57" spans="2:10" hidden="1" x14ac:dyDescent="0.3">
      <c r="B57" s="11">
        <v>15</v>
      </c>
      <c r="C57" s="17" t="s">
        <v>27</v>
      </c>
      <c r="D57" s="26"/>
      <c r="E57" s="26"/>
      <c r="F57" s="49">
        <f t="shared" si="7"/>
        <v>0</v>
      </c>
      <c r="G57" s="26">
        <f t="shared" ref="G57:G68" si="9">+G56+F57</f>
        <v>1762379.23</v>
      </c>
      <c r="H57" s="50">
        <v>0</v>
      </c>
      <c r="I57" s="26">
        <v>0</v>
      </c>
      <c r="J57" s="47"/>
    </row>
    <row r="58" spans="2:10" hidden="1" x14ac:dyDescent="0.3">
      <c r="B58" s="11">
        <v>16</v>
      </c>
      <c r="C58" s="17" t="s">
        <v>28</v>
      </c>
      <c r="D58" s="26"/>
      <c r="E58" s="26"/>
      <c r="F58" s="49">
        <f t="shared" si="7"/>
        <v>0</v>
      </c>
      <c r="G58" s="26">
        <f t="shared" si="9"/>
        <v>1762379.23</v>
      </c>
      <c r="H58" s="50">
        <v>0</v>
      </c>
      <c r="I58" s="26">
        <v>0</v>
      </c>
      <c r="J58" s="47"/>
    </row>
    <row r="59" spans="2:10" hidden="1" x14ac:dyDescent="0.3">
      <c r="B59" s="11">
        <v>17</v>
      </c>
      <c r="C59" s="17" t="s">
        <v>29</v>
      </c>
      <c r="D59" s="26"/>
      <c r="E59" s="26"/>
      <c r="F59" s="49">
        <f t="shared" si="7"/>
        <v>0</v>
      </c>
      <c r="G59" s="26">
        <f t="shared" si="9"/>
        <v>1762379.23</v>
      </c>
      <c r="H59" s="50">
        <v>0</v>
      </c>
      <c r="I59" s="26">
        <v>0</v>
      </c>
      <c r="J59" s="47"/>
    </row>
    <row r="60" spans="2:10" hidden="1" x14ac:dyDescent="0.3">
      <c r="B60" s="11">
        <v>18</v>
      </c>
      <c r="C60" s="17" t="s">
        <v>30</v>
      </c>
      <c r="D60" s="26"/>
      <c r="E60" s="26"/>
      <c r="F60" s="49">
        <f t="shared" si="7"/>
        <v>0</v>
      </c>
      <c r="G60" s="26">
        <f t="shared" si="9"/>
        <v>1762379.23</v>
      </c>
      <c r="H60" s="50">
        <v>0</v>
      </c>
      <c r="I60" s="26">
        <v>0</v>
      </c>
      <c r="J60" s="47"/>
    </row>
    <row r="61" spans="2:10" hidden="1" x14ac:dyDescent="0.3">
      <c r="B61" s="11">
        <v>19</v>
      </c>
      <c r="C61" s="17" t="s">
        <v>31</v>
      </c>
      <c r="D61" s="26"/>
      <c r="E61" s="26"/>
      <c r="F61" s="49">
        <f t="shared" si="7"/>
        <v>0</v>
      </c>
      <c r="G61" s="26">
        <f t="shared" si="9"/>
        <v>1762379.23</v>
      </c>
      <c r="H61" s="50">
        <v>0</v>
      </c>
      <c r="I61" s="26">
        <v>0</v>
      </c>
      <c r="J61" s="47"/>
    </row>
    <row r="62" spans="2:10" hidden="1" x14ac:dyDescent="0.3">
      <c r="B62" s="11">
        <v>20</v>
      </c>
      <c r="C62" s="17" t="s">
        <v>32</v>
      </c>
      <c r="D62" s="26"/>
      <c r="E62" s="26"/>
      <c r="F62" s="49">
        <f t="shared" si="7"/>
        <v>0</v>
      </c>
      <c r="G62" s="26">
        <f t="shared" si="9"/>
        <v>1762379.23</v>
      </c>
      <c r="H62" s="50">
        <v>0</v>
      </c>
      <c r="I62" s="26">
        <v>0</v>
      </c>
      <c r="J62" s="47"/>
    </row>
    <row r="63" spans="2:10" hidden="1" x14ac:dyDescent="0.3">
      <c r="B63" s="11">
        <v>21</v>
      </c>
      <c r="C63" s="17" t="s">
        <v>33</v>
      </c>
      <c r="D63" s="26"/>
      <c r="E63" s="26"/>
      <c r="F63" s="49">
        <f t="shared" si="7"/>
        <v>0</v>
      </c>
      <c r="G63" s="26">
        <f t="shared" si="9"/>
        <v>1762379.23</v>
      </c>
      <c r="H63" s="50">
        <v>0</v>
      </c>
      <c r="I63" s="26">
        <v>0</v>
      </c>
      <c r="J63" s="47"/>
    </row>
    <row r="64" spans="2:10" hidden="1" x14ac:dyDescent="0.3">
      <c r="B64" s="11">
        <v>22</v>
      </c>
      <c r="C64" s="17" t="s">
        <v>34</v>
      </c>
      <c r="D64" s="26"/>
      <c r="E64" s="26"/>
      <c r="F64" s="49">
        <f t="shared" si="7"/>
        <v>0</v>
      </c>
      <c r="G64" s="26">
        <f t="shared" si="9"/>
        <v>1762379.23</v>
      </c>
      <c r="H64" s="50">
        <v>0</v>
      </c>
      <c r="I64" s="26">
        <v>0</v>
      </c>
      <c r="J64" s="47"/>
    </row>
    <row r="65" spans="2:10" hidden="1" x14ac:dyDescent="0.3">
      <c r="B65" s="11">
        <v>23</v>
      </c>
      <c r="C65" s="17" t="s">
        <v>35</v>
      </c>
      <c r="D65" s="26"/>
      <c r="E65" s="26"/>
      <c r="F65" s="49">
        <f t="shared" si="7"/>
        <v>0</v>
      </c>
      <c r="G65" s="26">
        <f t="shared" si="9"/>
        <v>1762379.23</v>
      </c>
      <c r="H65" s="50">
        <v>0</v>
      </c>
      <c r="I65" s="26">
        <v>0</v>
      </c>
      <c r="J65" s="47"/>
    </row>
    <row r="66" spans="2:10" hidden="1" x14ac:dyDescent="0.3">
      <c r="B66" s="11">
        <v>24</v>
      </c>
      <c r="C66" s="17" t="s">
        <v>36</v>
      </c>
      <c r="D66" s="26"/>
      <c r="E66" s="26"/>
      <c r="F66" s="49">
        <f t="shared" si="7"/>
        <v>0</v>
      </c>
      <c r="G66" s="26">
        <f t="shared" si="9"/>
        <v>1762379.23</v>
      </c>
      <c r="H66" s="50">
        <v>0</v>
      </c>
      <c r="I66" s="26">
        <v>0</v>
      </c>
      <c r="J66" s="47"/>
    </row>
    <row r="67" spans="2:10" hidden="1" x14ac:dyDescent="0.3">
      <c r="B67" s="11">
        <v>25</v>
      </c>
      <c r="C67" s="18" t="s">
        <v>37</v>
      </c>
      <c r="D67" s="26"/>
      <c r="E67" s="26"/>
      <c r="F67" s="49">
        <f t="shared" si="7"/>
        <v>0</v>
      </c>
      <c r="G67" s="26">
        <f t="shared" si="9"/>
        <v>1762379.23</v>
      </c>
      <c r="H67" s="50">
        <v>0</v>
      </c>
      <c r="I67" s="26">
        <v>0</v>
      </c>
      <c r="J67" s="47"/>
    </row>
    <row r="68" spans="2:10" hidden="1" x14ac:dyDescent="0.3">
      <c r="B68" s="28">
        <v>26</v>
      </c>
      <c r="C68" s="29" t="s">
        <v>38</v>
      </c>
      <c r="D68" s="33"/>
      <c r="E68" s="33"/>
      <c r="F68" s="66">
        <f t="shared" si="7"/>
        <v>0</v>
      </c>
      <c r="G68" s="33">
        <f t="shared" si="9"/>
        <v>1762379.23</v>
      </c>
      <c r="H68" s="67">
        <v>0</v>
      </c>
      <c r="I68" s="33">
        <v>0</v>
      </c>
      <c r="J68" s="47"/>
    </row>
    <row r="69" spans="2:10" x14ac:dyDescent="0.3">
      <c r="B69" s="5"/>
      <c r="C69" s="5"/>
      <c r="D69" s="6"/>
      <c r="E69" s="6"/>
      <c r="F69" s="6"/>
      <c r="G69" s="6"/>
      <c r="H69" s="6"/>
      <c r="I69" s="6"/>
      <c r="J69" s="6"/>
    </row>
    <row r="70" spans="2:10" x14ac:dyDescent="0.3">
      <c r="B70" s="8" t="s">
        <v>39</v>
      </c>
      <c r="C70" s="5"/>
      <c r="D70" s="6"/>
      <c r="E70" s="6"/>
      <c r="F70" s="6"/>
      <c r="G70" s="6"/>
      <c r="H70" s="6"/>
      <c r="I70" s="6"/>
      <c r="J70" s="6"/>
    </row>
    <row r="71" spans="2:10" x14ac:dyDescent="0.3">
      <c r="B71" s="9" t="s">
        <v>40</v>
      </c>
      <c r="C71" s="5"/>
      <c r="D71" s="6"/>
      <c r="E71" s="6"/>
      <c r="F71" s="6"/>
      <c r="G71" s="6"/>
      <c r="H71" s="6"/>
      <c r="I71" s="6"/>
      <c r="J71" s="6"/>
    </row>
    <row r="72" spans="2:10" x14ac:dyDescent="0.3">
      <c r="B72" s="9" t="s">
        <v>41</v>
      </c>
      <c r="C72" s="5"/>
      <c r="D72" s="6"/>
      <c r="E72" s="6"/>
      <c r="F72" s="6"/>
      <c r="G72" s="6"/>
      <c r="H72" s="6"/>
      <c r="I72" s="6"/>
      <c r="J72" s="6"/>
    </row>
    <row r="73" spans="2:10" x14ac:dyDescent="0.3">
      <c r="B73" s="9" t="s">
        <v>42</v>
      </c>
      <c r="C73" s="5"/>
      <c r="D73" s="6"/>
      <c r="E73" s="6"/>
      <c r="F73" s="6"/>
      <c r="G73" s="6"/>
      <c r="H73" s="6"/>
      <c r="I73" s="6"/>
      <c r="J73" s="6"/>
    </row>
    <row r="74" spans="2:10" x14ac:dyDescent="0.3">
      <c r="B74" s="10"/>
      <c r="C74" s="10"/>
      <c r="D74" s="44"/>
      <c r="E74" s="44"/>
      <c r="F74" s="44"/>
      <c r="G74" s="44"/>
      <c r="H74" s="44"/>
      <c r="I74" s="44"/>
      <c r="J74" s="44"/>
    </row>
    <row r="75" spans="2:10" x14ac:dyDescent="0.3">
      <c r="B75" s="10"/>
      <c r="C75" s="10"/>
      <c r="D75" s="44"/>
      <c r="E75" s="44"/>
      <c r="F75" s="44"/>
      <c r="G75" s="44"/>
      <c r="H75" s="44"/>
      <c r="I75" s="44"/>
      <c r="J75" s="44"/>
    </row>
    <row r="76" spans="2:10" ht="18" x14ac:dyDescent="0.35">
      <c r="B76" s="10"/>
      <c r="C76" s="10"/>
      <c r="D76" s="140" t="s">
        <v>45</v>
      </c>
      <c r="E76" s="140"/>
      <c r="F76" s="140"/>
      <c r="G76" s="140"/>
      <c r="H76" s="140"/>
      <c r="I76" s="140"/>
      <c r="J76" s="44"/>
    </row>
    <row r="77" spans="2:10" s="37" customFormat="1" ht="18" x14ac:dyDescent="0.35">
      <c r="B77" s="27"/>
      <c r="C77" s="27"/>
      <c r="D77" s="174" t="s">
        <v>54</v>
      </c>
      <c r="E77" s="174"/>
      <c r="F77" s="174"/>
      <c r="G77" s="174"/>
      <c r="H77" s="174"/>
      <c r="I77" s="174"/>
      <c r="J77" s="63"/>
    </row>
    <row r="78" spans="2:10" ht="15.9" customHeight="1" x14ac:dyDescent="0.3">
      <c r="B78" s="128" t="s">
        <v>84</v>
      </c>
      <c r="C78" s="128"/>
      <c r="D78" s="128"/>
      <c r="E78" s="128"/>
      <c r="F78" s="128"/>
      <c r="G78" s="128"/>
      <c r="H78" s="128"/>
      <c r="I78" s="128"/>
      <c r="J78" s="128"/>
    </row>
    <row r="79" spans="2:10" ht="14.4" customHeight="1" x14ac:dyDescent="0.3">
      <c r="B79" s="15"/>
      <c r="C79" s="16"/>
      <c r="D79" s="118" t="s">
        <v>6</v>
      </c>
      <c r="E79" s="119"/>
      <c r="F79" s="119"/>
      <c r="G79" s="120"/>
      <c r="H79" s="121" t="s">
        <v>7</v>
      </c>
      <c r="I79" s="122"/>
      <c r="J79" s="64"/>
    </row>
    <row r="80" spans="2:10" x14ac:dyDescent="0.3">
      <c r="B80" s="13"/>
      <c r="C80" s="14"/>
      <c r="D80" s="125" t="s">
        <v>9</v>
      </c>
      <c r="E80" s="126"/>
      <c r="F80" s="126"/>
      <c r="G80" s="127"/>
      <c r="H80" s="123"/>
      <c r="I80" s="124"/>
      <c r="J80" s="64"/>
    </row>
    <row r="81" spans="2:10" ht="14.4" customHeight="1" x14ac:dyDescent="0.3">
      <c r="B81" s="132" t="s">
        <v>10</v>
      </c>
      <c r="C81" s="134" t="s">
        <v>11</v>
      </c>
      <c r="D81" s="62" t="s">
        <v>12</v>
      </c>
      <c r="E81" s="62" t="s">
        <v>13</v>
      </c>
      <c r="F81" s="62" t="s">
        <v>14</v>
      </c>
      <c r="G81" s="62" t="s">
        <v>15</v>
      </c>
      <c r="H81" s="136" t="s">
        <v>16</v>
      </c>
      <c r="I81" s="138" t="s">
        <v>17</v>
      </c>
      <c r="J81" s="65"/>
    </row>
    <row r="82" spans="2:10" ht="38.4" customHeight="1" x14ac:dyDescent="0.3">
      <c r="B82" s="133"/>
      <c r="C82" s="135"/>
      <c r="D82" s="145" t="s">
        <v>20</v>
      </c>
      <c r="E82" s="146"/>
      <c r="F82" s="146"/>
      <c r="G82" s="147"/>
      <c r="H82" s="137"/>
      <c r="I82" s="139"/>
      <c r="J82" s="65"/>
    </row>
    <row r="83" spans="2:10" x14ac:dyDescent="0.3">
      <c r="B83" s="42">
        <v>4</v>
      </c>
      <c r="C83" s="40" t="s">
        <v>21</v>
      </c>
      <c r="D83" s="21">
        <v>0</v>
      </c>
      <c r="E83" s="21">
        <v>0</v>
      </c>
      <c r="F83" s="45">
        <f>+D83+E83</f>
        <v>0</v>
      </c>
      <c r="G83" s="21">
        <f>+F83</f>
        <v>0</v>
      </c>
      <c r="H83" s="50" t="e">
        <f t="shared" ref="H83" si="10">((G83-I83)/I83)*100</f>
        <v>#DIV/0!</v>
      </c>
      <c r="I83" s="21">
        <v>0</v>
      </c>
      <c r="J83" s="47"/>
    </row>
    <row r="84" spans="2:10" x14ac:dyDescent="0.3">
      <c r="B84" s="42">
        <v>5</v>
      </c>
      <c r="C84" s="40" t="s">
        <v>22</v>
      </c>
      <c r="D84" s="26">
        <v>9008.51</v>
      </c>
      <c r="E84" s="26">
        <v>0</v>
      </c>
      <c r="F84" s="49">
        <f>+E84+D84</f>
        <v>9008.51</v>
      </c>
      <c r="G84" s="26">
        <f>+G83+F84</f>
        <v>9008.51</v>
      </c>
      <c r="H84" s="50">
        <f t="shared" ref="H84:H90" si="11">((G84-I84)/I84)*100</f>
        <v>-95.944662177927142</v>
      </c>
      <c r="I84" s="26">
        <v>222139.57</v>
      </c>
      <c r="J84" s="47"/>
    </row>
    <row r="85" spans="2:10" x14ac:dyDescent="0.3">
      <c r="B85" s="42">
        <v>6</v>
      </c>
      <c r="C85" s="40" t="s">
        <v>23</v>
      </c>
      <c r="D85" s="26">
        <v>4186.0200000000004</v>
      </c>
      <c r="E85" s="26">
        <v>0</v>
      </c>
      <c r="F85" s="49">
        <f>+E85+D85</f>
        <v>4186.0200000000004</v>
      </c>
      <c r="G85" s="26">
        <f>+G84+F85</f>
        <v>13194.53</v>
      </c>
      <c r="H85" s="50">
        <f t="shared" si="11"/>
        <v>-94.74250485394262</v>
      </c>
      <c r="I85" s="26">
        <f>+I84+28826.52</f>
        <v>250966.09</v>
      </c>
      <c r="J85" s="47"/>
    </row>
    <row r="86" spans="2:10" x14ac:dyDescent="0.3">
      <c r="B86" s="42">
        <v>7</v>
      </c>
      <c r="C86" s="40" t="s">
        <v>24</v>
      </c>
      <c r="D86" s="26">
        <v>2176.52</v>
      </c>
      <c r="E86" s="26">
        <v>2600</v>
      </c>
      <c r="F86" s="49">
        <f t="shared" ref="F86:F105" si="12">+E86+D86</f>
        <v>4776.5200000000004</v>
      </c>
      <c r="G86" s="26">
        <f>+G85+F86</f>
        <v>17971.050000000003</v>
      </c>
      <c r="H86" s="50">
        <f t="shared" si="11"/>
        <v>-94.113480936244471</v>
      </c>
      <c r="I86" s="26">
        <f>+I85+54325.54</f>
        <v>305291.63</v>
      </c>
      <c r="J86" s="47"/>
    </row>
    <row r="87" spans="2:10" x14ac:dyDescent="0.3">
      <c r="B87" s="42">
        <v>8</v>
      </c>
      <c r="C87" s="40" t="s">
        <v>25</v>
      </c>
      <c r="D87" s="26">
        <v>0</v>
      </c>
      <c r="E87" s="26">
        <v>0</v>
      </c>
      <c r="F87" s="49">
        <f t="shared" si="12"/>
        <v>0</v>
      </c>
      <c r="G87" s="26">
        <f t="shared" ref="G87:G90" si="13">+G86+F87</f>
        <v>17971.050000000003</v>
      </c>
      <c r="H87" s="50">
        <f t="shared" si="11"/>
        <v>-94.678447939946793</v>
      </c>
      <c r="I87" s="26">
        <v>337703.17</v>
      </c>
      <c r="J87" s="47"/>
    </row>
    <row r="88" spans="2:10" x14ac:dyDescent="0.3">
      <c r="B88" s="42">
        <v>9</v>
      </c>
      <c r="C88" s="40" t="s">
        <v>26</v>
      </c>
      <c r="D88" s="26">
        <v>0</v>
      </c>
      <c r="E88" s="26">
        <v>0</v>
      </c>
      <c r="F88" s="49">
        <f t="shared" si="12"/>
        <v>0</v>
      </c>
      <c r="G88" s="26">
        <f t="shared" si="13"/>
        <v>17971.050000000003</v>
      </c>
      <c r="H88" s="50">
        <f t="shared" si="11"/>
        <v>-95.346580760123857</v>
      </c>
      <c r="I88" s="26">
        <f>+I87+48487.05</f>
        <v>386190.22</v>
      </c>
      <c r="J88" s="47"/>
    </row>
    <row r="89" spans="2:10" x14ac:dyDescent="0.3">
      <c r="B89" s="42">
        <v>10</v>
      </c>
      <c r="C89" s="40" t="s">
        <v>67</v>
      </c>
      <c r="D89" s="26">
        <v>16095</v>
      </c>
      <c r="E89" s="26">
        <v>0</v>
      </c>
      <c r="F89" s="49">
        <f t="shared" si="12"/>
        <v>16095</v>
      </c>
      <c r="G89" s="26">
        <f t="shared" si="13"/>
        <v>34066.050000000003</v>
      </c>
      <c r="H89" s="50">
        <f t="shared" si="11"/>
        <v>-91.692418805560038</v>
      </c>
      <c r="I89" s="26">
        <f>+I88+23869.57</f>
        <v>410059.79</v>
      </c>
      <c r="J89" s="47"/>
    </row>
    <row r="90" spans="2:10" x14ac:dyDescent="0.3">
      <c r="B90" s="42">
        <v>11</v>
      </c>
      <c r="C90" s="40" t="s">
        <v>68</v>
      </c>
      <c r="D90" s="26">
        <v>2742</v>
      </c>
      <c r="E90" s="26">
        <v>0</v>
      </c>
      <c r="F90" s="49">
        <f t="shared" si="12"/>
        <v>2742</v>
      </c>
      <c r="G90" s="26">
        <f t="shared" si="13"/>
        <v>36808.050000000003</v>
      </c>
      <c r="H90" s="50">
        <f t="shared" si="11"/>
        <v>-91.7296582460271</v>
      </c>
      <c r="I90" s="26">
        <f>+I89+35001.02</f>
        <v>445060.81</v>
      </c>
      <c r="J90" s="47"/>
    </row>
    <row r="91" spans="2:10" x14ac:dyDescent="0.3">
      <c r="B91" s="42">
        <v>12</v>
      </c>
      <c r="C91" s="40" t="s">
        <v>83</v>
      </c>
      <c r="D91" s="26">
        <v>39631</v>
      </c>
      <c r="E91" s="26">
        <v>0</v>
      </c>
      <c r="F91" s="49">
        <f t="shared" si="12"/>
        <v>39631</v>
      </c>
      <c r="G91" s="26">
        <f>+G90+F91</f>
        <v>76439.05</v>
      </c>
      <c r="H91" s="50">
        <f>((G91-I91)/I91)*100</f>
        <v>-84.770818693028332</v>
      </c>
      <c r="I91" s="26">
        <f>+I90+56864.07</f>
        <v>501924.88</v>
      </c>
      <c r="J91" s="47"/>
    </row>
    <row r="92" spans="2:10" x14ac:dyDescent="0.3">
      <c r="B92" s="42">
        <v>13</v>
      </c>
      <c r="C92" s="40" t="s">
        <v>69</v>
      </c>
      <c r="D92" s="26">
        <v>24486.5</v>
      </c>
      <c r="E92" s="26">
        <v>0</v>
      </c>
      <c r="F92" s="49">
        <f t="shared" si="12"/>
        <v>24486.5</v>
      </c>
      <c r="G92" s="26">
        <f t="shared" ref="G92:G93" si="14">+G91+F92</f>
        <v>100925.55</v>
      </c>
      <c r="H92" s="50">
        <f>((G92-I92)/I92)*100</f>
        <v>-80.12959274126608</v>
      </c>
      <c r="I92" s="26">
        <v>507918.88</v>
      </c>
      <c r="J92" s="47"/>
    </row>
    <row r="93" spans="2:10" x14ac:dyDescent="0.3">
      <c r="B93" s="42">
        <v>14</v>
      </c>
      <c r="C93" s="86" t="s">
        <v>70</v>
      </c>
      <c r="D93" s="26">
        <v>4100</v>
      </c>
      <c r="E93" s="26">
        <v>0</v>
      </c>
      <c r="F93" s="49">
        <f t="shared" si="12"/>
        <v>4100</v>
      </c>
      <c r="G93" s="26">
        <f t="shared" si="14"/>
        <v>105025.55</v>
      </c>
      <c r="H93" s="50">
        <f>((G93-I93)/I93)*100</f>
        <v>-80.934825982661849</v>
      </c>
      <c r="I93" s="26">
        <f>+I92+42957.55</f>
        <v>550876.43000000005</v>
      </c>
      <c r="J93" s="47"/>
    </row>
    <row r="94" spans="2:10" hidden="1" x14ac:dyDescent="0.3">
      <c r="B94" s="11">
        <v>15</v>
      </c>
      <c r="C94" s="17" t="s">
        <v>27</v>
      </c>
      <c r="D94" s="26"/>
      <c r="E94" s="26"/>
      <c r="F94" s="49">
        <f t="shared" si="12"/>
        <v>0</v>
      </c>
      <c r="G94" s="26">
        <f t="shared" ref="G94:G105" si="15">+G93+F94</f>
        <v>105025.55</v>
      </c>
      <c r="H94" s="50">
        <v>0</v>
      </c>
      <c r="I94" s="26">
        <v>0</v>
      </c>
      <c r="J94" s="47"/>
    </row>
    <row r="95" spans="2:10" hidden="1" x14ac:dyDescent="0.3">
      <c r="B95" s="11">
        <v>16</v>
      </c>
      <c r="C95" s="17" t="s">
        <v>28</v>
      </c>
      <c r="D95" s="26"/>
      <c r="E95" s="26"/>
      <c r="F95" s="49">
        <f t="shared" si="12"/>
        <v>0</v>
      </c>
      <c r="G95" s="26">
        <f t="shared" si="15"/>
        <v>105025.55</v>
      </c>
      <c r="H95" s="50">
        <v>0</v>
      </c>
      <c r="I95" s="26">
        <v>0</v>
      </c>
      <c r="J95" s="47"/>
    </row>
    <row r="96" spans="2:10" hidden="1" x14ac:dyDescent="0.3">
      <c r="B96" s="11">
        <v>17</v>
      </c>
      <c r="C96" s="17" t="s">
        <v>29</v>
      </c>
      <c r="D96" s="26"/>
      <c r="E96" s="26"/>
      <c r="F96" s="49">
        <f t="shared" si="12"/>
        <v>0</v>
      </c>
      <c r="G96" s="26">
        <f t="shared" si="15"/>
        <v>105025.55</v>
      </c>
      <c r="H96" s="50">
        <v>0</v>
      </c>
      <c r="I96" s="26">
        <v>0</v>
      </c>
      <c r="J96" s="47"/>
    </row>
    <row r="97" spans="2:10" hidden="1" x14ac:dyDescent="0.3">
      <c r="B97" s="11">
        <v>18</v>
      </c>
      <c r="C97" s="17" t="s">
        <v>30</v>
      </c>
      <c r="D97" s="26"/>
      <c r="E97" s="26"/>
      <c r="F97" s="49">
        <f t="shared" si="12"/>
        <v>0</v>
      </c>
      <c r="G97" s="26">
        <f t="shared" si="15"/>
        <v>105025.55</v>
      </c>
      <c r="H97" s="50">
        <v>0</v>
      </c>
      <c r="I97" s="26">
        <v>0</v>
      </c>
      <c r="J97" s="47"/>
    </row>
    <row r="98" spans="2:10" hidden="1" x14ac:dyDescent="0.3">
      <c r="B98" s="11">
        <v>19</v>
      </c>
      <c r="C98" s="17" t="s">
        <v>31</v>
      </c>
      <c r="D98" s="26"/>
      <c r="E98" s="26"/>
      <c r="F98" s="49">
        <f t="shared" si="12"/>
        <v>0</v>
      </c>
      <c r="G98" s="26">
        <f t="shared" si="15"/>
        <v>105025.55</v>
      </c>
      <c r="H98" s="50">
        <v>0</v>
      </c>
      <c r="I98" s="26">
        <v>0</v>
      </c>
      <c r="J98" s="47"/>
    </row>
    <row r="99" spans="2:10" hidden="1" x14ac:dyDescent="0.3">
      <c r="B99" s="11">
        <v>20</v>
      </c>
      <c r="C99" s="17" t="s">
        <v>32</v>
      </c>
      <c r="D99" s="26"/>
      <c r="E99" s="26"/>
      <c r="F99" s="49">
        <f t="shared" si="12"/>
        <v>0</v>
      </c>
      <c r="G99" s="26">
        <f t="shared" si="15"/>
        <v>105025.55</v>
      </c>
      <c r="H99" s="50">
        <v>0</v>
      </c>
      <c r="I99" s="26">
        <v>0</v>
      </c>
      <c r="J99" s="47"/>
    </row>
    <row r="100" spans="2:10" hidden="1" x14ac:dyDescent="0.3">
      <c r="B100" s="11">
        <v>21</v>
      </c>
      <c r="C100" s="17" t="s">
        <v>33</v>
      </c>
      <c r="D100" s="26"/>
      <c r="E100" s="26"/>
      <c r="F100" s="49">
        <f t="shared" si="12"/>
        <v>0</v>
      </c>
      <c r="G100" s="26">
        <f t="shared" si="15"/>
        <v>105025.55</v>
      </c>
      <c r="H100" s="50">
        <v>0</v>
      </c>
      <c r="I100" s="26">
        <v>0</v>
      </c>
      <c r="J100" s="47"/>
    </row>
    <row r="101" spans="2:10" hidden="1" x14ac:dyDescent="0.3">
      <c r="B101" s="11">
        <v>22</v>
      </c>
      <c r="C101" s="17" t="s">
        <v>34</v>
      </c>
      <c r="D101" s="26"/>
      <c r="E101" s="26"/>
      <c r="F101" s="49">
        <f t="shared" si="12"/>
        <v>0</v>
      </c>
      <c r="G101" s="26">
        <f t="shared" si="15"/>
        <v>105025.55</v>
      </c>
      <c r="H101" s="50">
        <v>0</v>
      </c>
      <c r="I101" s="26">
        <v>0</v>
      </c>
      <c r="J101" s="47"/>
    </row>
    <row r="102" spans="2:10" hidden="1" x14ac:dyDescent="0.3">
      <c r="B102" s="11">
        <v>23</v>
      </c>
      <c r="C102" s="17" t="s">
        <v>35</v>
      </c>
      <c r="D102" s="26"/>
      <c r="E102" s="26"/>
      <c r="F102" s="49">
        <f t="shared" si="12"/>
        <v>0</v>
      </c>
      <c r="G102" s="26">
        <f t="shared" si="15"/>
        <v>105025.55</v>
      </c>
      <c r="H102" s="50">
        <v>0</v>
      </c>
      <c r="I102" s="26">
        <v>0</v>
      </c>
      <c r="J102" s="47"/>
    </row>
    <row r="103" spans="2:10" hidden="1" x14ac:dyDescent="0.3">
      <c r="B103" s="11">
        <v>24</v>
      </c>
      <c r="C103" s="17" t="s">
        <v>36</v>
      </c>
      <c r="D103" s="26"/>
      <c r="E103" s="26"/>
      <c r="F103" s="49">
        <f t="shared" si="12"/>
        <v>0</v>
      </c>
      <c r="G103" s="26">
        <f t="shared" si="15"/>
        <v>105025.55</v>
      </c>
      <c r="H103" s="50">
        <v>0</v>
      </c>
      <c r="I103" s="26">
        <v>0</v>
      </c>
      <c r="J103" s="47"/>
    </row>
    <row r="104" spans="2:10" hidden="1" x14ac:dyDescent="0.3">
      <c r="B104" s="11">
        <v>25</v>
      </c>
      <c r="C104" s="18" t="s">
        <v>37</v>
      </c>
      <c r="D104" s="26"/>
      <c r="E104" s="26"/>
      <c r="F104" s="49">
        <f t="shared" si="12"/>
        <v>0</v>
      </c>
      <c r="G104" s="26">
        <f t="shared" si="15"/>
        <v>105025.55</v>
      </c>
      <c r="H104" s="50">
        <v>0</v>
      </c>
      <c r="I104" s="26">
        <v>0</v>
      </c>
      <c r="J104" s="47"/>
    </row>
    <row r="105" spans="2:10" hidden="1" x14ac:dyDescent="0.3">
      <c r="B105" s="28">
        <v>26</v>
      </c>
      <c r="C105" s="29" t="s">
        <v>38</v>
      </c>
      <c r="D105" s="33"/>
      <c r="E105" s="33"/>
      <c r="F105" s="66">
        <f t="shared" si="12"/>
        <v>0</v>
      </c>
      <c r="G105" s="33">
        <f t="shared" si="15"/>
        <v>105025.55</v>
      </c>
      <c r="H105" s="67">
        <v>0</v>
      </c>
      <c r="I105" s="33">
        <v>0</v>
      </c>
      <c r="J105" s="47"/>
    </row>
    <row r="106" spans="2:10" x14ac:dyDescent="0.3">
      <c r="B106" s="5"/>
      <c r="C106" s="5"/>
      <c r="D106" s="6"/>
      <c r="E106" s="6"/>
      <c r="F106" s="6"/>
      <c r="G106" s="6"/>
      <c r="H106" s="6"/>
      <c r="I106" s="6"/>
      <c r="J106" s="6"/>
    </row>
    <row r="107" spans="2:10" x14ac:dyDescent="0.3">
      <c r="B107" s="8" t="s">
        <v>39</v>
      </c>
      <c r="C107" s="5"/>
      <c r="D107" s="6"/>
      <c r="E107" s="6"/>
      <c r="F107" s="6"/>
      <c r="G107" s="6"/>
      <c r="H107" s="6"/>
      <c r="I107" s="6"/>
      <c r="J107" s="6"/>
    </row>
    <row r="108" spans="2:10" x14ac:dyDescent="0.3">
      <c r="B108" s="9" t="s">
        <v>40</v>
      </c>
      <c r="C108" s="5"/>
      <c r="D108" s="6"/>
      <c r="E108" s="6"/>
      <c r="F108" s="6"/>
      <c r="G108" s="6"/>
      <c r="H108" s="6"/>
      <c r="I108" s="6"/>
      <c r="J108" s="6"/>
    </row>
    <row r="109" spans="2:10" x14ac:dyDescent="0.3">
      <c r="B109" s="9" t="s">
        <v>41</v>
      </c>
      <c r="C109" s="5"/>
      <c r="D109" s="6"/>
      <c r="E109" s="6"/>
      <c r="F109" s="6"/>
      <c r="G109" s="6"/>
      <c r="H109" s="6"/>
      <c r="I109" s="6"/>
      <c r="J109" s="6"/>
    </row>
    <row r="110" spans="2:10" x14ac:dyDescent="0.3">
      <c r="B110" s="9" t="s">
        <v>42</v>
      </c>
      <c r="C110" s="5"/>
      <c r="D110" s="6"/>
      <c r="E110" s="6"/>
      <c r="F110" s="6"/>
      <c r="G110" s="6"/>
      <c r="H110" s="6"/>
      <c r="I110" s="6"/>
      <c r="J110" s="6"/>
    </row>
    <row r="113" spans="2:10" ht="18" x14ac:dyDescent="0.35">
      <c r="B113" s="10"/>
      <c r="C113" s="10"/>
      <c r="D113" s="142" t="s">
        <v>46</v>
      </c>
      <c r="E113" s="142"/>
      <c r="F113" s="142"/>
      <c r="G113" s="142"/>
      <c r="H113" s="142"/>
      <c r="I113" s="142"/>
      <c r="J113" s="44"/>
    </row>
    <row r="114" spans="2:10" s="37" customFormat="1" ht="18" x14ac:dyDescent="0.35">
      <c r="B114" s="27"/>
      <c r="C114" s="27"/>
      <c r="D114" s="175" t="s">
        <v>54</v>
      </c>
      <c r="E114" s="175"/>
      <c r="F114" s="175"/>
      <c r="G114" s="175"/>
      <c r="H114" s="175"/>
      <c r="I114" s="175"/>
      <c r="J114" s="63"/>
    </row>
    <row r="115" spans="2:10" ht="15.9" customHeight="1" x14ac:dyDescent="0.3">
      <c r="B115" s="128" t="s">
        <v>84</v>
      </c>
      <c r="C115" s="128"/>
      <c r="D115" s="128"/>
      <c r="E115" s="128"/>
      <c r="F115" s="128"/>
      <c r="G115" s="128"/>
      <c r="H115" s="128"/>
      <c r="I115" s="128"/>
      <c r="J115" s="128"/>
    </row>
    <row r="116" spans="2:10" ht="14.4" customHeight="1" x14ac:dyDescent="0.3">
      <c r="B116" s="15"/>
      <c r="C116" s="16"/>
      <c r="D116" s="118" t="s">
        <v>6</v>
      </c>
      <c r="E116" s="119"/>
      <c r="F116" s="119"/>
      <c r="G116" s="120"/>
      <c r="H116" s="121" t="s">
        <v>7</v>
      </c>
      <c r="I116" s="122"/>
      <c r="J116" s="64"/>
    </row>
    <row r="117" spans="2:10" x14ac:dyDescent="0.3">
      <c r="B117" s="13"/>
      <c r="C117" s="14"/>
      <c r="D117" s="125" t="s">
        <v>9</v>
      </c>
      <c r="E117" s="126"/>
      <c r="F117" s="126"/>
      <c r="G117" s="127"/>
      <c r="H117" s="123"/>
      <c r="I117" s="124"/>
      <c r="J117" s="64"/>
    </row>
    <row r="118" spans="2:10" ht="14.4" customHeight="1" x14ac:dyDescent="0.3">
      <c r="B118" s="132" t="s">
        <v>10</v>
      </c>
      <c r="C118" s="134" t="s">
        <v>11</v>
      </c>
      <c r="D118" s="62" t="s">
        <v>12</v>
      </c>
      <c r="E118" s="62" t="s">
        <v>13</v>
      </c>
      <c r="F118" s="62" t="s">
        <v>14</v>
      </c>
      <c r="G118" s="62" t="s">
        <v>15</v>
      </c>
      <c r="H118" s="136" t="s">
        <v>16</v>
      </c>
      <c r="I118" s="138" t="s">
        <v>17</v>
      </c>
      <c r="J118" s="65"/>
    </row>
    <row r="119" spans="2:10" ht="38.4" customHeight="1" x14ac:dyDescent="0.3">
      <c r="B119" s="133"/>
      <c r="C119" s="135"/>
      <c r="D119" s="145" t="s">
        <v>20</v>
      </c>
      <c r="E119" s="146"/>
      <c r="F119" s="146"/>
      <c r="G119" s="147"/>
      <c r="H119" s="137"/>
      <c r="I119" s="139"/>
      <c r="J119" s="65"/>
    </row>
    <row r="120" spans="2:10" x14ac:dyDescent="0.3">
      <c r="B120" s="42">
        <v>4</v>
      </c>
      <c r="C120" s="40" t="s">
        <v>21</v>
      </c>
      <c r="D120" s="21">
        <v>2488.5</v>
      </c>
      <c r="E120" s="21">
        <v>0</v>
      </c>
      <c r="F120" s="45">
        <f>+D120+E120</f>
        <v>2488.5</v>
      </c>
      <c r="G120" s="21">
        <f>+F120</f>
        <v>2488.5</v>
      </c>
      <c r="H120" s="46" t="e">
        <f t="shared" ref="H120:H127" si="16">((G120-I120)/I120)*100</f>
        <v>#DIV/0!</v>
      </c>
      <c r="I120" s="21">
        <v>0</v>
      </c>
      <c r="J120" s="47"/>
    </row>
    <row r="121" spans="2:10" x14ac:dyDescent="0.3">
      <c r="B121" s="42">
        <v>5</v>
      </c>
      <c r="C121" s="40" t="s">
        <v>22</v>
      </c>
      <c r="D121" s="26">
        <v>12507.02</v>
      </c>
      <c r="E121" s="26">
        <v>0</v>
      </c>
      <c r="F121" s="49">
        <f>+E121+D121</f>
        <v>12507.02</v>
      </c>
      <c r="G121" s="26">
        <f>+G120+F121</f>
        <v>14995.52</v>
      </c>
      <c r="H121" s="50">
        <f t="shared" si="16"/>
        <v>-82.309435757224264</v>
      </c>
      <c r="I121" s="26">
        <v>84765.64</v>
      </c>
      <c r="J121" s="47"/>
    </row>
    <row r="122" spans="2:10" x14ac:dyDescent="0.3">
      <c r="B122" s="42">
        <v>6</v>
      </c>
      <c r="C122" s="40" t="s">
        <v>23</v>
      </c>
      <c r="D122" s="26">
        <v>5122.5200000000004</v>
      </c>
      <c r="E122" s="26">
        <v>0</v>
      </c>
      <c r="F122" s="49">
        <f>+E122+D122</f>
        <v>5122.5200000000004</v>
      </c>
      <c r="G122" s="26">
        <f t="shared" ref="G122" si="17">+G121+F122</f>
        <v>20118.04</v>
      </c>
      <c r="H122" s="50">
        <f t="shared" si="16"/>
        <v>-86.890860866945175</v>
      </c>
      <c r="I122" s="26">
        <f>+I121+68700.12</f>
        <v>153465.76</v>
      </c>
      <c r="J122" s="47"/>
    </row>
    <row r="123" spans="2:10" x14ac:dyDescent="0.3">
      <c r="B123" s="42">
        <v>7</v>
      </c>
      <c r="C123" s="40" t="s">
        <v>24</v>
      </c>
      <c r="D123" s="26">
        <v>388.5</v>
      </c>
      <c r="E123" s="26">
        <v>0</v>
      </c>
      <c r="F123" s="49">
        <f t="shared" ref="F123:F142" si="18">+E123+D123</f>
        <v>388.5</v>
      </c>
      <c r="G123" s="26">
        <f>+G122+F123</f>
        <v>20506.54</v>
      </c>
      <c r="H123" s="50">
        <f t="shared" si="16"/>
        <v>-88.933137424190534</v>
      </c>
      <c r="I123" s="26">
        <f>+I122+31831.02</f>
        <v>185296.78</v>
      </c>
      <c r="J123" s="47"/>
    </row>
    <row r="124" spans="2:10" x14ac:dyDescent="0.3">
      <c r="B124" s="42">
        <v>8</v>
      </c>
      <c r="C124" s="40" t="s">
        <v>25</v>
      </c>
      <c r="D124" s="26">
        <v>8772.5499999999993</v>
      </c>
      <c r="E124" s="26">
        <v>0</v>
      </c>
      <c r="F124" s="49">
        <f t="shared" si="18"/>
        <v>8772.5499999999993</v>
      </c>
      <c r="G124" s="26">
        <f t="shared" ref="G124:G130" si="19">+G123+F124</f>
        <v>29279.09</v>
      </c>
      <c r="H124" s="50">
        <f t="shared" si="16"/>
        <v>-87.67646914480035</v>
      </c>
      <c r="I124" s="26">
        <v>237586.86</v>
      </c>
      <c r="J124" s="47"/>
    </row>
    <row r="125" spans="2:10" x14ac:dyDescent="0.3">
      <c r="B125" s="42">
        <v>9</v>
      </c>
      <c r="C125" s="40" t="s">
        <v>26</v>
      </c>
      <c r="D125" s="26">
        <v>1539.51</v>
      </c>
      <c r="E125" s="26">
        <v>0</v>
      </c>
      <c r="F125" s="49">
        <f t="shared" si="18"/>
        <v>1539.51</v>
      </c>
      <c r="G125" s="26">
        <f t="shared" si="19"/>
        <v>30818.6</v>
      </c>
      <c r="H125" s="50">
        <f t="shared" si="16"/>
        <v>-89.035918142331212</v>
      </c>
      <c r="I125" s="26">
        <f>+I124+43500.06</f>
        <v>281086.92</v>
      </c>
      <c r="J125" s="47"/>
    </row>
    <row r="126" spans="2:10" x14ac:dyDescent="0.3">
      <c r="B126" s="42">
        <v>10</v>
      </c>
      <c r="C126" s="40" t="s">
        <v>67</v>
      </c>
      <c r="D126" s="26">
        <v>4372.5</v>
      </c>
      <c r="E126" s="26">
        <v>0</v>
      </c>
      <c r="F126" s="49">
        <f t="shared" si="18"/>
        <v>4372.5</v>
      </c>
      <c r="G126" s="26">
        <f t="shared" si="19"/>
        <v>35191.1</v>
      </c>
      <c r="H126" s="50">
        <f t="shared" si="16"/>
        <v>-88.298242959122589</v>
      </c>
      <c r="I126" s="26">
        <f>+I125+19646.55</f>
        <v>300733.46999999997</v>
      </c>
      <c r="J126" s="47"/>
    </row>
    <row r="127" spans="2:10" x14ac:dyDescent="0.3">
      <c r="B127" s="42">
        <v>11</v>
      </c>
      <c r="C127" s="40" t="s">
        <v>68</v>
      </c>
      <c r="D127" s="26">
        <v>2333.0100000000002</v>
      </c>
      <c r="E127" s="26">
        <v>0</v>
      </c>
      <c r="F127" s="49">
        <f t="shared" si="18"/>
        <v>2333.0100000000002</v>
      </c>
      <c r="G127" s="26">
        <f t="shared" si="19"/>
        <v>37524.11</v>
      </c>
      <c r="H127" s="50">
        <f t="shared" si="16"/>
        <v>-88.530226008965926</v>
      </c>
      <c r="I127" s="26">
        <f>+I126+26423.02</f>
        <v>327156.49</v>
      </c>
      <c r="J127" s="47"/>
    </row>
    <row r="128" spans="2:10" x14ac:dyDescent="0.3">
      <c r="B128" s="42">
        <v>12</v>
      </c>
      <c r="C128" s="40" t="s">
        <v>83</v>
      </c>
      <c r="D128" s="26">
        <v>0</v>
      </c>
      <c r="E128" s="26">
        <v>0</v>
      </c>
      <c r="F128" s="49">
        <f t="shared" si="18"/>
        <v>0</v>
      </c>
      <c r="G128" s="26">
        <f t="shared" si="19"/>
        <v>37524.11</v>
      </c>
      <c r="H128" s="50">
        <f>((G128-I128)/I128)*100</f>
        <v>-91.061720989070409</v>
      </c>
      <c r="I128" s="26">
        <f>+I127+92657.1</f>
        <v>419813.58999999997</v>
      </c>
      <c r="J128" s="47"/>
    </row>
    <row r="129" spans="2:10" x14ac:dyDescent="0.3">
      <c r="B129" s="42">
        <v>13</v>
      </c>
      <c r="C129" s="40" t="s">
        <v>69</v>
      </c>
      <c r="D129" s="26">
        <v>0</v>
      </c>
      <c r="E129" s="26">
        <v>0</v>
      </c>
      <c r="F129" s="49">
        <f t="shared" si="18"/>
        <v>0</v>
      </c>
      <c r="G129" s="26">
        <f t="shared" si="19"/>
        <v>37524.11</v>
      </c>
      <c r="H129" s="50">
        <f>((G129-I129)/I129)*100</f>
        <v>-91.061720989070409</v>
      </c>
      <c r="I129" s="26">
        <v>419813.59</v>
      </c>
      <c r="J129" s="47"/>
    </row>
    <row r="130" spans="2:10" x14ac:dyDescent="0.3">
      <c r="B130" s="42">
        <v>14</v>
      </c>
      <c r="C130" s="86" t="s">
        <v>70</v>
      </c>
      <c r="D130" s="26">
        <v>0</v>
      </c>
      <c r="E130" s="26">
        <v>0</v>
      </c>
      <c r="F130" s="49">
        <f t="shared" si="18"/>
        <v>0</v>
      </c>
      <c r="G130" s="26">
        <f t="shared" si="19"/>
        <v>37524.11</v>
      </c>
      <c r="H130" s="50">
        <f>((G130-I130)/I130)*100</f>
        <v>-91.061720989070409</v>
      </c>
      <c r="I130" s="26">
        <f>+I129+0</f>
        <v>419813.59</v>
      </c>
      <c r="J130" s="47"/>
    </row>
    <row r="131" spans="2:10" hidden="1" x14ac:dyDescent="0.3">
      <c r="B131" s="11">
        <v>15</v>
      </c>
      <c r="C131" s="17" t="s">
        <v>27</v>
      </c>
      <c r="D131" s="26"/>
      <c r="E131" s="26"/>
      <c r="F131" s="49">
        <f t="shared" si="18"/>
        <v>0</v>
      </c>
      <c r="G131" s="26">
        <f t="shared" ref="G131:G142" si="20">+G130+F131</f>
        <v>37524.11</v>
      </c>
      <c r="H131" s="50">
        <v>0</v>
      </c>
      <c r="I131" s="26">
        <v>0</v>
      </c>
      <c r="J131" s="47"/>
    </row>
    <row r="132" spans="2:10" hidden="1" x14ac:dyDescent="0.3">
      <c r="B132" s="11">
        <v>16</v>
      </c>
      <c r="C132" s="17" t="s">
        <v>28</v>
      </c>
      <c r="D132" s="26"/>
      <c r="E132" s="26"/>
      <c r="F132" s="49">
        <f t="shared" si="18"/>
        <v>0</v>
      </c>
      <c r="G132" s="26">
        <f t="shared" si="20"/>
        <v>37524.11</v>
      </c>
      <c r="H132" s="50">
        <v>0</v>
      </c>
      <c r="I132" s="26">
        <v>0</v>
      </c>
      <c r="J132" s="47"/>
    </row>
    <row r="133" spans="2:10" hidden="1" x14ac:dyDescent="0.3">
      <c r="B133" s="11">
        <v>17</v>
      </c>
      <c r="C133" s="17" t="s">
        <v>29</v>
      </c>
      <c r="D133" s="26"/>
      <c r="E133" s="26"/>
      <c r="F133" s="49">
        <f t="shared" si="18"/>
        <v>0</v>
      </c>
      <c r="G133" s="26">
        <f t="shared" si="20"/>
        <v>37524.11</v>
      </c>
      <c r="H133" s="50">
        <v>0</v>
      </c>
      <c r="I133" s="26">
        <v>0</v>
      </c>
      <c r="J133" s="47"/>
    </row>
    <row r="134" spans="2:10" hidden="1" x14ac:dyDescent="0.3">
      <c r="B134" s="11">
        <v>18</v>
      </c>
      <c r="C134" s="17" t="s">
        <v>30</v>
      </c>
      <c r="D134" s="26"/>
      <c r="E134" s="26"/>
      <c r="F134" s="49">
        <f t="shared" si="18"/>
        <v>0</v>
      </c>
      <c r="G134" s="26">
        <f t="shared" si="20"/>
        <v>37524.11</v>
      </c>
      <c r="H134" s="50">
        <v>0</v>
      </c>
      <c r="I134" s="26">
        <v>0</v>
      </c>
      <c r="J134" s="47"/>
    </row>
    <row r="135" spans="2:10" hidden="1" x14ac:dyDescent="0.3">
      <c r="B135" s="11">
        <v>19</v>
      </c>
      <c r="C135" s="17" t="s">
        <v>31</v>
      </c>
      <c r="D135" s="26"/>
      <c r="E135" s="26"/>
      <c r="F135" s="49">
        <f t="shared" si="18"/>
        <v>0</v>
      </c>
      <c r="G135" s="26">
        <f t="shared" si="20"/>
        <v>37524.11</v>
      </c>
      <c r="H135" s="50">
        <v>0</v>
      </c>
      <c r="I135" s="26">
        <v>0</v>
      </c>
      <c r="J135" s="47"/>
    </row>
    <row r="136" spans="2:10" hidden="1" x14ac:dyDescent="0.3">
      <c r="B136" s="11">
        <v>20</v>
      </c>
      <c r="C136" s="17" t="s">
        <v>32</v>
      </c>
      <c r="D136" s="26"/>
      <c r="E136" s="26"/>
      <c r="F136" s="49">
        <f t="shared" si="18"/>
        <v>0</v>
      </c>
      <c r="G136" s="26">
        <f t="shared" si="20"/>
        <v>37524.11</v>
      </c>
      <c r="H136" s="50">
        <v>0</v>
      </c>
      <c r="I136" s="26">
        <v>0</v>
      </c>
      <c r="J136" s="47"/>
    </row>
    <row r="137" spans="2:10" hidden="1" x14ac:dyDescent="0.3">
      <c r="B137" s="11">
        <v>21</v>
      </c>
      <c r="C137" s="17" t="s">
        <v>33</v>
      </c>
      <c r="D137" s="26"/>
      <c r="E137" s="26"/>
      <c r="F137" s="49">
        <f t="shared" si="18"/>
        <v>0</v>
      </c>
      <c r="G137" s="26">
        <f t="shared" si="20"/>
        <v>37524.11</v>
      </c>
      <c r="H137" s="50">
        <v>0</v>
      </c>
      <c r="I137" s="26">
        <v>0</v>
      </c>
      <c r="J137" s="47"/>
    </row>
    <row r="138" spans="2:10" hidden="1" x14ac:dyDescent="0.3">
      <c r="B138" s="11">
        <v>22</v>
      </c>
      <c r="C138" s="17" t="s">
        <v>34</v>
      </c>
      <c r="D138" s="26"/>
      <c r="E138" s="26"/>
      <c r="F138" s="49">
        <f t="shared" si="18"/>
        <v>0</v>
      </c>
      <c r="G138" s="26">
        <f t="shared" si="20"/>
        <v>37524.11</v>
      </c>
      <c r="H138" s="50">
        <v>0</v>
      </c>
      <c r="I138" s="26">
        <v>0</v>
      </c>
      <c r="J138" s="47"/>
    </row>
    <row r="139" spans="2:10" hidden="1" x14ac:dyDescent="0.3">
      <c r="B139" s="11">
        <v>23</v>
      </c>
      <c r="C139" s="17" t="s">
        <v>35</v>
      </c>
      <c r="D139" s="26"/>
      <c r="E139" s="26"/>
      <c r="F139" s="49">
        <f t="shared" si="18"/>
        <v>0</v>
      </c>
      <c r="G139" s="26">
        <f t="shared" si="20"/>
        <v>37524.11</v>
      </c>
      <c r="H139" s="50">
        <v>0</v>
      </c>
      <c r="I139" s="26">
        <v>0</v>
      </c>
      <c r="J139" s="47"/>
    </row>
    <row r="140" spans="2:10" hidden="1" x14ac:dyDescent="0.3">
      <c r="B140" s="11">
        <v>24</v>
      </c>
      <c r="C140" s="17" t="s">
        <v>36</v>
      </c>
      <c r="D140" s="26"/>
      <c r="E140" s="26"/>
      <c r="F140" s="49">
        <f t="shared" si="18"/>
        <v>0</v>
      </c>
      <c r="G140" s="26">
        <f t="shared" si="20"/>
        <v>37524.11</v>
      </c>
      <c r="H140" s="50">
        <v>0</v>
      </c>
      <c r="I140" s="26">
        <v>0</v>
      </c>
      <c r="J140" s="47"/>
    </row>
    <row r="141" spans="2:10" hidden="1" x14ac:dyDescent="0.3">
      <c r="B141" s="11">
        <v>25</v>
      </c>
      <c r="C141" s="18" t="s">
        <v>37</v>
      </c>
      <c r="D141" s="26"/>
      <c r="E141" s="26"/>
      <c r="F141" s="49">
        <f t="shared" si="18"/>
        <v>0</v>
      </c>
      <c r="G141" s="26">
        <f t="shared" si="20"/>
        <v>37524.11</v>
      </c>
      <c r="H141" s="50">
        <v>0</v>
      </c>
      <c r="I141" s="26">
        <v>0</v>
      </c>
      <c r="J141" s="47"/>
    </row>
    <row r="142" spans="2:10" hidden="1" x14ac:dyDescent="0.3">
      <c r="B142" s="28">
        <v>26</v>
      </c>
      <c r="C142" s="29" t="s">
        <v>38</v>
      </c>
      <c r="D142" s="33"/>
      <c r="E142" s="33"/>
      <c r="F142" s="66">
        <f t="shared" si="18"/>
        <v>0</v>
      </c>
      <c r="G142" s="33">
        <f t="shared" si="20"/>
        <v>37524.11</v>
      </c>
      <c r="H142" s="67">
        <v>0</v>
      </c>
      <c r="I142" s="33">
        <v>0</v>
      </c>
      <c r="J142" s="47"/>
    </row>
    <row r="143" spans="2:10" x14ac:dyDescent="0.3">
      <c r="B143" s="5"/>
      <c r="C143" s="5"/>
      <c r="D143" s="6"/>
      <c r="E143" s="6"/>
      <c r="F143" s="6"/>
      <c r="G143" s="6"/>
      <c r="H143" s="6"/>
      <c r="I143" s="6"/>
      <c r="J143" s="6"/>
    </row>
    <row r="144" spans="2:10" x14ac:dyDescent="0.3">
      <c r="B144" s="8" t="s">
        <v>39</v>
      </c>
      <c r="C144" s="5"/>
      <c r="D144" s="6"/>
      <c r="E144" s="6"/>
      <c r="F144" s="6"/>
      <c r="G144" s="6"/>
      <c r="H144" s="6"/>
      <c r="I144" s="6"/>
      <c r="J144" s="6"/>
    </row>
    <row r="145" spans="2:10" x14ac:dyDescent="0.3">
      <c r="B145" s="9" t="s">
        <v>40</v>
      </c>
      <c r="C145" s="5"/>
      <c r="D145" s="6"/>
      <c r="E145" s="6"/>
      <c r="F145" s="6"/>
      <c r="G145" s="6"/>
      <c r="H145" s="6"/>
      <c r="I145" s="6"/>
      <c r="J145" s="6"/>
    </row>
    <row r="146" spans="2:10" x14ac:dyDescent="0.3">
      <c r="B146" s="9" t="s">
        <v>41</v>
      </c>
      <c r="C146" s="5"/>
      <c r="D146" s="6"/>
      <c r="E146" s="6"/>
      <c r="F146" s="6"/>
      <c r="G146" s="6"/>
      <c r="H146" s="6"/>
      <c r="I146" s="6"/>
      <c r="J146" s="6"/>
    </row>
    <row r="147" spans="2:10" x14ac:dyDescent="0.3">
      <c r="B147" s="9" t="s">
        <v>42</v>
      </c>
      <c r="C147" s="5"/>
      <c r="D147" s="6"/>
      <c r="E147" s="6"/>
      <c r="F147" s="6"/>
      <c r="G147" s="6"/>
      <c r="H147" s="6"/>
      <c r="I147" s="6"/>
      <c r="J147" s="6"/>
    </row>
  </sheetData>
  <mergeCells count="43">
    <mergeCell ref="B118:B119"/>
    <mergeCell ref="C118:C119"/>
    <mergeCell ref="H118:H119"/>
    <mergeCell ref="I118:I119"/>
    <mergeCell ref="D119:G119"/>
    <mergeCell ref="B81:B82"/>
    <mergeCell ref="C81:C82"/>
    <mergeCell ref="H81:H82"/>
    <mergeCell ref="I81:I82"/>
    <mergeCell ref="D82:G82"/>
    <mergeCell ref="B44:B45"/>
    <mergeCell ref="C44:C45"/>
    <mergeCell ref="H44:H45"/>
    <mergeCell ref="I44:I45"/>
    <mergeCell ref="D45:G45"/>
    <mergeCell ref="H116:I117"/>
    <mergeCell ref="D117:G117"/>
    <mergeCell ref="D113:I113"/>
    <mergeCell ref="D116:G116"/>
    <mergeCell ref="D114:I114"/>
    <mergeCell ref="B115:J115"/>
    <mergeCell ref="H79:I80"/>
    <mergeCell ref="D80:G80"/>
    <mergeCell ref="D76:I76"/>
    <mergeCell ref="D79:G79"/>
    <mergeCell ref="D77:I77"/>
    <mergeCell ref="B78:J78"/>
    <mergeCell ref="H42:I43"/>
    <mergeCell ref="D43:G43"/>
    <mergeCell ref="D39:I39"/>
    <mergeCell ref="D42:G42"/>
    <mergeCell ref="D40:I40"/>
    <mergeCell ref="B41:J41"/>
    <mergeCell ref="B7:B8"/>
    <mergeCell ref="C7:C8"/>
    <mergeCell ref="H7:H8"/>
    <mergeCell ref="I7:I8"/>
    <mergeCell ref="D8:G8"/>
    <mergeCell ref="D3:I3"/>
    <mergeCell ref="B4:J4"/>
    <mergeCell ref="D5:G5"/>
    <mergeCell ref="H5:I6"/>
    <mergeCell ref="D6:G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32C3742ADA8A479F576B0C198AE5FC" ma:contentTypeVersion="14" ma:contentTypeDescription="Create a new document." ma:contentTypeScope="" ma:versionID="ef56800d550df01386388f46183ca177">
  <xsd:schema xmlns:xsd="http://www.w3.org/2001/XMLSchema" xmlns:xs="http://www.w3.org/2001/XMLSchema" xmlns:p="http://schemas.microsoft.com/office/2006/metadata/properties" xmlns:ns2="a31ffaa2-1bbc-4f9a-8f8a-10b2c32352a4" xmlns:ns3="3792c4ad-f857-4666-8381-664e085e6325" targetNamespace="http://schemas.microsoft.com/office/2006/metadata/properties" ma:root="true" ma:fieldsID="7a0bf12e117ae970694129e886733f85" ns2:_="" ns3:_="">
    <xsd:import namespace="a31ffaa2-1bbc-4f9a-8f8a-10b2c32352a4"/>
    <xsd:import namespace="3792c4ad-f857-4666-8381-664e085e63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ffaa2-1bbc-4f9a-8f8a-10b2c3235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c10e49e-0500-4f4b-ae64-0698345295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92c4ad-f857-4666-8381-664e085e632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59721b-2df4-418b-a0ba-1214f26a83ce}" ma:internalName="TaxCatchAll" ma:showField="CatchAllData" ma:web="3792c4ad-f857-4666-8381-664e085e63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92c4ad-f857-4666-8381-664e085e6325" xsi:nil="true"/>
    <lcf76f155ced4ddcb4097134ff3c332f xmlns="a31ffaa2-1bbc-4f9a-8f8a-10b2c32352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AE09B4-6814-4816-B1AA-F2BCE2185E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D10119-2C5C-49AD-B5DB-67BF896B1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1ffaa2-1bbc-4f9a-8f8a-10b2c32352a4"/>
    <ds:schemaRef ds:uri="3792c4ad-f857-4666-8381-664e085e63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59D03D-6989-4AC4-80C9-0DC00212A5DD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a31ffaa2-1bbc-4f9a-8f8a-10b2c32352a4"/>
    <ds:schemaRef ds:uri="http://schemas.microsoft.com/office/2006/documentManagement/types"/>
    <ds:schemaRef ds:uri="3792c4ad-f857-4666-8381-664e085e632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Please Note</vt:lpstr>
      <vt:lpstr>Total Raisins</vt:lpstr>
      <vt:lpstr>Thompsons</vt:lpstr>
      <vt:lpstr>Flame</vt:lpstr>
      <vt:lpstr>SA Sultana</vt:lpstr>
      <vt:lpstr>OR Sultana</vt:lpstr>
      <vt:lpstr>Goldens</vt:lpstr>
      <vt:lpstr>Currants</vt:lpstr>
      <vt:lpstr>Other</vt:lpstr>
      <vt:lpstr> Specific add product detail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Lizaan Venter</cp:lastModifiedBy>
  <cp:revision/>
  <dcterms:created xsi:type="dcterms:W3CDTF">2026-02-11T09:02:17Z</dcterms:created>
  <dcterms:modified xsi:type="dcterms:W3CDTF">2026-04-08T09:26:33Z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0x010100E232C3742ADA8A479F576B0C198AE5FC</vt:lpwstr>
  </property>
  <property fmtid="{D5CDD505-2E9C-101B-9397-08002B2CF9AE}" pid="3" name="MediaServiceImageTags">
    <vt:lpwstr/>
  </property>
</Properties>
</file>