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28/"/>
    </mc:Choice>
  </mc:AlternateContent>
  <xr:revisionPtr revIDLastSave="3892" documentId="8_{624CB44F-547F-4F75-BABA-84F1C73E0C81}" xr6:coauthVersionLast="47" xr6:coauthVersionMax="47" xr10:uidLastSave="{35864E6B-04C4-40FB-8420-7AB12E89DD5D}"/>
  <bookViews>
    <workbookView xWindow="-110" yWindow="-110" windowWidth="19420" windowHeight="10300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27" r:id="rId10"/>
  </sheets>
  <externalReferences>
    <externalReference r:id="rId11"/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F68" i="1"/>
  <c r="F118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G115" i="1" s="1"/>
  <c r="L115" i="1"/>
  <c r="L116" i="1"/>
  <c r="I117" i="1"/>
  <c r="L117" i="1"/>
  <c r="I118" i="1"/>
  <c r="L118" i="1"/>
  <c r="L119" i="1"/>
  <c r="L120" i="1"/>
  <c r="I122" i="1"/>
  <c r="I125" i="1"/>
  <c r="I126" i="1"/>
  <c r="I128" i="1"/>
  <c r="I129" i="1"/>
  <c r="I130" i="1"/>
  <c r="I131" i="1"/>
  <c r="I132" i="1" s="1"/>
  <c r="I133" i="1" s="1"/>
  <c r="I134" i="1" s="1"/>
  <c r="I135" i="1" s="1"/>
  <c r="I136" i="1" s="1"/>
  <c r="I137" i="1" s="1"/>
  <c r="I138" i="1" s="1"/>
  <c r="I139" i="1" s="1"/>
  <c r="L134" i="1"/>
  <c r="L136" i="1"/>
  <c r="L137" i="1"/>
  <c r="L138" i="1"/>
  <c r="L139" i="1"/>
  <c r="F787" i="27"/>
  <c r="F786" i="27"/>
  <c r="F785" i="27"/>
  <c r="F784" i="27"/>
  <c r="F783" i="27"/>
  <c r="F782" i="27"/>
  <c r="F781" i="27"/>
  <c r="F780" i="27"/>
  <c r="F779" i="27"/>
  <c r="F778" i="27"/>
  <c r="F777" i="27"/>
  <c r="G776" i="27"/>
  <c r="G777" i="27" s="1"/>
  <c r="G778" i="27" s="1"/>
  <c r="G779" i="27" s="1"/>
  <c r="G780" i="27" s="1"/>
  <c r="G781" i="27" s="1"/>
  <c r="G782" i="27" s="1"/>
  <c r="G783" i="27" s="1"/>
  <c r="G784" i="27" s="1"/>
  <c r="G785" i="27" s="1"/>
  <c r="G786" i="27" s="1"/>
  <c r="G787" i="27" s="1"/>
  <c r="F776" i="27"/>
  <c r="F775" i="27"/>
  <c r="F774" i="27"/>
  <c r="F773" i="27"/>
  <c r="F772" i="27"/>
  <c r="F771" i="27"/>
  <c r="F770" i="27"/>
  <c r="F769" i="27"/>
  <c r="F768" i="27"/>
  <c r="F767" i="27"/>
  <c r="G766" i="27"/>
  <c r="G767" i="27" s="1"/>
  <c r="G768" i="27" s="1"/>
  <c r="G769" i="27" s="1"/>
  <c r="G770" i="27" s="1"/>
  <c r="G771" i="27" s="1"/>
  <c r="G772" i="27" s="1"/>
  <c r="G773" i="27" s="1"/>
  <c r="G774" i="27" s="1"/>
  <c r="G775" i="27" s="1"/>
  <c r="F766" i="27"/>
  <c r="F765" i="27"/>
  <c r="G764" i="27"/>
  <c r="G765" i="27" s="1"/>
  <c r="F764" i="27"/>
  <c r="F748" i="27"/>
  <c r="F747" i="27"/>
  <c r="F746" i="27"/>
  <c r="F745" i="27"/>
  <c r="F744" i="27"/>
  <c r="F743" i="27"/>
  <c r="F742" i="27"/>
  <c r="F741" i="27"/>
  <c r="F740" i="27"/>
  <c r="F739" i="27"/>
  <c r="F738" i="27"/>
  <c r="F737" i="27"/>
  <c r="F736" i="27"/>
  <c r="F735" i="27"/>
  <c r="F734" i="27"/>
  <c r="F733" i="27"/>
  <c r="F732" i="27"/>
  <c r="F731" i="27"/>
  <c r="F730" i="27"/>
  <c r="F729" i="27"/>
  <c r="F728" i="27"/>
  <c r="G728" i="27" s="1"/>
  <c r="G729" i="27" s="1"/>
  <c r="G730" i="27" s="1"/>
  <c r="G731" i="27" s="1"/>
  <c r="G732" i="27" s="1"/>
  <c r="G733" i="27" s="1"/>
  <c r="G734" i="27" s="1"/>
  <c r="G735" i="27" s="1"/>
  <c r="G736" i="27" s="1"/>
  <c r="G737" i="27" s="1"/>
  <c r="G738" i="27" s="1"/>
  <c r="G739" i="27" s="1"/>
  <c r="G740" i="27" s="1"/>
  <c r="G741" i="27" s="1"/>
  <c r="G742" i="27" s="1"/>
  <c r="G743" i="27" s="1"/>
  <c r="G744" i="27" s="1"/>
  <c r="G745" i="27" s="1"/>
  <c r="G746" i="27" s="1"/>
  <c r="G747" i="27" s="1"/>
  <c r="G748" i="27" s="1"/>
  <c r="F709" i="27"/>
  <c r="F708" i="27"/>
  <c r="F707" i="27"/>
  <c r="F706" i="27"/>
  <c r="F705" i="27"/>
  <c r="F704" i="27"/>
  <c r="F703" i="27"/>
  <c r="F702" i="27"/>
  <c r="F701" i="27"/>
  <c r="F700" i="27"/>
  <c r="F699" i="27"/>
  <c r="F698" i="27"/>
  <c r="F697" i="27"/>
  <c r="F696" i="27"/>
  <c r="F695" i="27"/>
  <c r="F694" i="27"/>
  <c r="F693" i="27"/>
  <c r="F692" i="27"/>
  <c r="F691" i="27"/>
  <c r="F690" i="27"/>
  <c r="F689" i="27"/>
  <c r="E688" i="27"/>
  <c r="F688" i="27" s="1"/>
  <c r="F687" i="27"/>
  <c r="F686" i="27"/>
  <c r="G686" i="27" s="1"/>
  <c r="G687" i="27" s="1"/>
  <c r="G685" i="27"/>
  <c r="F685" i="27"/>
  <c r="F670" i="27"/>
  <c r="F669" i="27"/>
  <c r="F668" i="27"/>
  <c r="F667" i="27"/>
  <c r="F666" i="27"/>
  <c r="F665" i="27"/>
  <c r="F664" i="27"/>
  <c r="F663" i="27"/>
  <c r="F662" i="27"/>
  <c r="F661" i="27"/>
  <c r="F660" i="27"/>
  <c r="F659" i="27"/>
  <c r="F658" i="27"/>
  <c r="F657" i="27"/>
  <c r="F656" i="27"/>
  <c r="F655" i="27"/>
  <c r="F654" i="27"/>
  <c r="F653" i="27"/>
  <c r="F652" i="27"/>
  <c r="F651" i="27"/>
  <c r="F650" i="27"/>
  <c r="E649" i="27"/>
  <c r="F649" i="27" s="1"/>
  <c r="G648" i="27"/>
  <c r="F648" i="27"/>
  <c r="F647" i="27"/>
  <c r="G646" i="27"/>
  <c r="G647" i="27" s="1"/>
  <c r="F646" i="27"/>
  <c r="F628" i="27"/>
  <c r="F627" i="27"/>
  <c r="F626" i="27"/>
  <c r="F625" i="27"/>
  <c r="F624" i="27"/>
  <c r="F623" i="27"/>
  <c r="F622" i="27"/>
  <c r="F621" i="27"/>
  <c r="F620" i="27"/>
  <c r="F619" i="27"/>
  <c r="F618" i="27"/>
  <c r="F617" i="27"/>
  <c r="F616" i="27"/>
  <c r="F615" i="27"/>
  <c r="F614" i="27"/>
  <c r="F613" i="27"/>
  <c r="F612" i="27"/>
  <c r="F611" i="27"/>
  <c r="F610" i="27"/>
  <c r="F609" i="27"/>
  <c r="F608" i="27"/>
  <c r="F607" i="27"/>
  <c r="F606" i="27"/>
  <c r="G605" i="27"/>
  <c r="G606" i="27" s="1"/>
  <c r="G607" i="27" s="1"/>
  <c r="G608" i="27" s="1"/>
  <c r="G609" i="27" s="1"/>
  <c r="G610" i="27" s="1"/>
  <c r="G611" i="27" s="1"/>
  <c r="G612" i="27" s="1"/>
  <c r="G613" i="27" s="1"/>
  <c r="G614" i="27" s="1"/>
  <c r="G615" i="27" s="1"/>
  <c r="G616" i="27" s="1"/>
  <c r="G617" i="27" s="1"/>
  <c r="G618" i="27" s="1"/>
  <c r="G619" i="27" s="1"/>
  <c r="G620" i="27" s="1"/>
  <c r="G621" i="27" s="1"/>
  <c r="G622" i="27" s="1"/>
  <c r="G623" i="27" s="1"/>
  <c r="G624" i="27" s="1"/>
  <c r="G625" i="27" s="1"/>
  <c r="G626" i="27" s="1"/>
  <c r="G627" i="27" s="1"/>
  <c r="G628" i="27" s="1"/>
  <c r="F605" i="27"/>
  <c r="F604" i="27"/>
  <c r="G604" i="27" s="1"/>
  <c r="F589" i="27"/>
  <c r="F588" i="27"/>
  <c r="F587" i="27"/>
  <c r="F586" i="27"/>
  <c r="F585" i="27"/>
  <c r="F584" i="27"/>
  <c r="F583" i="27"/>
  <c r="F582" i="27"/>
  <c r="F581" i="27"/>
  <c r="F580" i="27"/>
  <c r="F579" i="27"/>
  <c r="F578" i="27"/>
  <c r="F577" i="27"/>
  <c r="F576" i="27"/>
  <c r="F575" i="27"/>
  <c r="F574" i="27"/>
  <c r="F573" i="27"/>
  <c r="F572" i="27"/>
  <c r="F571" i="27"/>
  <c r="F570" i="27"/>
  <c r="F569" i="27"/>
  <c r="D569" i="27"/>
  <c r="F568" i="27"/>
  <c r="F567" i="27"/>
  <c r="F566" i="27"/>
  <c r="G566" i="27" s="1"/>
  <c r="G567" i="27" s="1"/>
  <c r="G568" i="27" s="1"/>
  <c r="G569" i="27" s="1"/>
  <c r="G570" i="27" s="1"/>
  <c r="G571" i="27" s="1"/>
  <c r="G572" i="27" s="1"/>
  <c r="G573" i="27" s="1"/>
  <c r="G574" i="27" s="1"/>
  <c r="G575" i="27" s="1"/>
  <c r="G576" i="27" s="1"/>
  <c r="G577" i="27" s="1"/>
  <c r="G578" i="27" s="1"/>
  <c r="G579" i="27" s="1"/>
  <c r="G580" i="27" s="1"/>
  <c r="G581" i="27" s="1"/>
  <c r="G582" i="27" s="1"/>
  <c r="G583" i="27" s="1"/>
  <c r="G584" i="27" s="1"/>
  <c r="G585" i="27" s="1"/>
  <c r="G586" i="27" s="1"/>
  <c r="G587" i="27" s="1"/>
  <c r="G588" i="27" s="1"/>
  <c r="G589" i="27" s="1"/>
  <c r="F550" i="27"/>
  <c r="F549" i="27"/>
  <c r="F548" i="27"/>
  <c r="F547" i="27"/>
  <c r="F546" i="27"/>
  <c r="F545" i="27"/>
  <c r="F544" i="27"/>
  <c r="F543" i="27"/>
  <c r="F542" i="27"/>
  <c r="F541" i="27"/>
  <c r="F540" i="27"/>
  <c r="F539" i="27"/>
  <c r="F538" i="27"/>
  <c r="F537" i="27"/>
  <c r="F536" i="27"/>
  <c r="F535" i="27"/>
  <c r="F534" i="27"/>
  <c r="F533" i="27"/>
  <c r="F532" i="27"/>
  <c r="F531" i="27"/>
  <c r="F530" i="27"/>
  <c r="F529" i="27"/>
  <c r="G529" i="27" s="1"/>
  <c r="G530" i="27" s="1"/>
  <c r="G531" i="27" s="1"/>
  <c r="G532" i="27" s="1"/>
  <c r="G533" i="27" s="1"/>
  <c r="G534" i="27" s="1"/>
  <c r="G535" i="27" s="1"/>
  <c r="G536" i="27" s="1"/>
  <c r="G537" i="27" s="1"/>
  <c r="G538" i="27" s="1"/>
  <c r="G539" i="27" s="1"/>
  <c r="G540" i="27" s="1"/>
  <c r="G541" i="27" s="1"/>
  <c r="G542" i="27" s="1"/>
  <c r="G543" i="27" s="1"/>
  <c r="G544" i="27" s="1"/>
  <c r="G545" i="27" s="1"/>
  <c r="G546" i="27" s="1"/>
  <c r="G547" i="27" s="1"/>
  <c r="G548" i="27" s="1"/>
  <c r="G549" i="27" s="1"/>
  <c r="G550" i="27" s="1"/>
  <c r="G528" i="27"/>
  <c r="F528" i="27"/>
  <c r="F527" i="27"/>
  <c r="G527" i="27" s="1"/>
  <c r="F511" i="27"/>
  <c r="F510" i="27"/>
  <c r="F509" i="27"/>
  <c r="F508" i="27"/>
  <c r="F507" i="27"/>
  <c r="F506" i="27"/>
  <c r="F505" i="27"/>
  <c r="F504" i="27"/>
  <c r="F503" i="27"/>
  <c r="F502" i="27"/>
  <c r="F501" i="27"/>
  <c r="F500" i="27"/>
  <c r="F499" i="27"/>
  <c r="F498" i="27"/>
  <c r="F497" i="27"/>
  <c r="F496" i="27"/>
  <c r="F495" i="27"/>
  <c r="F494" i="27"/>
  <c r="F493" i="27"/>
  <c r="F492" i="27"/>
  <c r="F491" i="27"/>
  <c r="F490" i="27"/>
  <c r="F489" i="27"/>
  <c r="F488" i="27"/>
  <c r="F487" i="27"/>
  <c r="G487" i="27" s="1"/>
  <c r="G488" i="27" s="1"/>
  <c r="G489" i="27" s="1"/>
  <c r="G490" i="27" s="1"/>
  <c r="G491" i="27" s="1"/>
  <c r="G492" i="27" s="1"/>
  <c r="G493" i="27" s="1"/>
  <c r="G494" i="27" s="1"/>
  <c r="G495" i="27" s="1"/>
  <c r="G496" i="27" s="1"/>
  <c r="G497" i="27" s="1"/>
  <c r="G498" i="27" s="1"/>
  <c r="G499" i="27" s="1"/>
  <c r="G500" i="27" s="1"/>
  <c r="G501" i="27" s="1"/>
  <c r="G502" i="27" s="1"/>
  <c r="G503" i="27" s="1"/>
  <c r="G504" i="27" s="1"/>
  <c r="G505" i="27" s="1"/>
  <c r="G506" i="27" s="1"/>
  <c r="G507" i="27" s="1"/>
  <c r="G508" i="27" s="1"/>
  <c r="G509" i="27" s="1"/>
  <c r="G510" i="27" s="1"/>
  <c r="G511" i="27" s="1"/>
  <c r="F469" i="27"/>
  <c r="F468" i="27"/>
  <c r="F467" i="27"/>
  <c r="F466" i="27"/>
  <c r="F465" i="27"/>
  <c r="F464" i="27"/>
  <c r="F463" i="27"/>
  <c r="F462" i="27"/>
  <c r="F461" i="27"/>
  <c r="F460" i="27"/>
  <c r="F459" i="27"/>
  <c r="F458" i="27"/>
  <c r="F457" i="27"/>
  <c r="F456" i="27"/>
  <c r="F455" i="27"/>
  <c r="F454" i="27"/>
  <c r="F453" i="27"/>
  <c r="F452" i="27"/>
  <c r="F451" i="27"/>
  <c r="F450" i="27"/>
  <c r="F449" i="27"/>
  <c r="F448" i="27"/>
  <c r="F447" i="27"/>
  <c r="F446" i="27"/>
  <c r="F445" i="27"/>
  <c r="G445" i="27" s="1"/>
  <c r="G446" i="27" s="1"/>
  <c r="G447" i="27" s="1"/>
  <c r="G448" i="27" s="1"/>
  <c r="G449" i="27" s="1"/>
  <c r="G450" i="27" s="1"/>
  <c r="G451" i="27" s="1"/>
  <c r="G452" i="27" s="1"/>
  <c r="G453" i="27" s="1"/>
  <c r="G454" i="27" s="1"/>
  <c r="G455" i="27" s="1"/>
  <c r="G456" i="27" s="1"/>
  <c r="G457" i="27" s="1"/>
  <c r="G458" i="27" s="1"/>
  <c r="G459" i="27" s="1"/>
  <c r="G460" i="27" s="1"/>
  <c r="G461" i="27" s="1"/>
  <c r="G462" i="27" s="1"/>
  <c r="G463" i="27" s="1"/>
  <c r="G464" i="27" s="1"/>
  <c r="G465" i="27" s="1"/>
  <c r="G466" i="27" s="1"/>
  <c r="G467" i="27" s="1"/>
  <c r="G468" i="27" s="1"/>
  <c r="G469" i="27" s="1"/>
  <c r="F430" i="27"/>
  <c r="F429" i="27"/>
  <c r="F428" i="27"/>
  <c r="F427" i="27"/>
  <c r="F426" i="27"/>
  <c r="F425" i="27"/>
  <c r="F424" i="27"/>
  <c r="F423" i="27"/>
  <c r="F422" i="27"/>
  <c r="F421" i="27"/>
  <c r="F420" i="27"/>
  <c r="F419" i="27"/>
  <c r="F418" i="27"/>
  <c r="F417" i="27"/>
  <c r="F416" i="27"/>
  <c r="F415" i="27"/>
  <c r="F414" i="27"/>
  <c r="F413" i="27"/>
  <c r="F412" i="27"/>
  <c r="F411" i="27"/>
  <c r="G410" i="27"/>
  <c r="F410" i="27"/>
  <c r="F409" i="27"/>
  <c r="F408" i="27"/>
  <c r="F407" i="27"/>
  <c r="G407" i="27" s="1"/>
  <c r="G408" i="27" s="1"/>
  <c r="G409" i="27" s="1"/>
  <c r="F391" i="27"/>
  <c r="F390" i="27"/>
  <c r="F389" i="27"/>
  <c r="F388" i="27"/>
  <c r="F387" i="27"/>
  <c r="F386" i="27"/>
  <c r="F385" i="27"/>
  <c r="F384" i="27"/>
  <c r="F383" i="27"/>
  <c r="F382" i="27"/>
  <c r="F381" i="27"/>
  <c r="F380" i="27"/>
  <c r="F379" i="27"/>
  <c r="F378" i="27"/>
  <c r="F377" i="27"/>
  <c r="F376" i="27"/>
  <c r="F375" i="27"/>
  <c r="F374" i="27"/>
  <c r="F373" i="27"/>
  <c r="F372" i="27"/>
  <c r="F371" i="27"/>
  <c r="E370" i="27"/>
  <c r="F370" i="27" s="1"/>
  <c r="F369" i="27"/>
  <c r="F368" i="27"/>
  <c r="F367" i="27"/>
  <c r="G367" i="27" s="1"/>
  <c r="G368" i="27" s="1"/>
  <c r="G369" i="27" s="1"/>
  <c r="G370" i="27" s="1"/>
  <c r="G371" i="27" s="1"/>
  <c r="G372" i="27" s="1"/>
  <c r="G373" i="27" s="1"/>
  <c r="G374" i="27" s="1"/>
  <c r="G375" i="27" s="1"/>
  <c r="G376" i="27" s="1"/>
  <c r="G377" i="27" s="1"/>
  <c r="G378" i="27" s="1"/>
  <c r="G379" i="27" s="1"/>
  <c r="G380" i="27" s="1"/>
  <c r="G381" i="27" s="1"/>
  <c r="G382" i="27" s="1"/>
  <c r="G383" i="27" s="1"/>
  <c r="G384" i="27" s="1"/>
  <c r="G385" i="27" s="1"/>
  <c r="G386" i="27" s="1"/>
  <c r="G387" i="27" s="1"/>
  <c r="G388" i="27" s="1"/>
  <c r="G389" i="27" s="1"/>
  <c r="G390" i="27" s="1"/>
  <c r="G391" i="27" s="1"/>
  <c r="F352" i="27"/>
  <c r="F351" i="27"/>
  <c r="F350" i="27"/>
  <c r="F349" i="27"/>
  <c r="F348" i="27"/>
  <c r="F347" i="27"/>
  <c r="F346" i="27"/>
  <c r="F345" i="27"/>
  <c r="F344" i="27"/>
  <c r="F343" i="27"/>
  <c r="F342" i="27"/>
  <c r="F341" i="27"/>
  <c r="F340" i="27"/>
  <c r="F339" i="27"/>
  <c r="F338" i="27"/>
  <c r="F337" i="27"/>
  <c r="F336" i="27"/>
  <c r="F335" i="27"/>
  <c r="G334" i="27"/>
  <c r="G335" i="27" s="1"/>
  <c r="G336" i="27" s="1"/>
  <c r="G337" i="27" s="1"/>
  <c r="G338" i="27" s="1"/>
  <c r="G339" i="27" s="1"/>
  <c r="G340" i="27" s="1"/>
  <c r="G341" i="27" s="1"/>
  <c r="G342" i="27" s="1"/>
  <c r="G343" i="27" s="1"/>
  <c r="G344" i="27" s="1"/>
  <c r="G345" i="27" s="1"/>
  <c r="G346" i="27" s="1"/>
  <c r="G347" i="27" s="1"/>
  <c r="G348" i="27" s="1"/>
  <c r="G349" i="27" s="1"/>
  <c r="G350" i="27" s="1"/>
  <c r="G351" i="27" s="1"/>
  <c r="G352" i="27" s="1"/>
  <c r="F334" i="27"/>
  <c r="F333" i="27"/>
  <c r="F332" i="27"/>
  <c r="E331" i="27"/>
  <c r="F331" i="27" s="1"/>
  <c r="F330" i="27"/>
  <c r="F329" i="27"/>
  <c r="G328" i="27"/>
  <c r="G329" i="27" s="1"/>
  <c r="G330" i="27" s="1"/>
  <c r="G331" i="27" s="1"/>
  <c r="G332" i="27" s="1"/>
  <c r="G333" i="27" s="1"/>
  <c r="F328" i="27"/>
  <c r="F312" i="27"/>
  <c r="F311" i="27"/>
  <c r="F310" i="27"/>
  <c r="F309" i="27"/>
  <c r="F308" i="27"/>
  <c r="F307" i="27"/>
  <c r="F306" i="27"/>
  <c r="F305" i="27"/>
  <c r="F304" i="27"/>
  <c r="F303" i="27"/>
  <c r="F302" i="27"/>
  <c r="F301" i="27"/>
  <c r="F300" i="27"/>
  <c r="F299" i="27"/>
  <c r="F298" i="27"/>
  <c r="F297" i="27"/>
  <c r="F296" i="27"/>
  <c r="F295" i="27"/>
  <c r="F294" i="27"/>
  <c r="F293" i="27"/>
  <c r="F292" i="27"/>
  <c r="G292" i="27" s="1"/>
  <c r="G293" i="27" s="1"/>
  <c r="G294" i="27" s="1"/>
  <c r="G295" i="27" s="1"/>
  <c r="G296" i="27" s="1"/>
  <c r="G297" i="27" s="1"/>
  <c r="G298" i="27" s="1"/>
  <c r="G299" i="27" s="1"/>
  <c r="G300" i="27" s="1"/>
  <c r="G301" i="27" s="1"/>
  <c r="G302" i="27" s="1"/>
  <c r="G303" i="27" s="1"/>
  <c r="G304" i="27" s="1"/>
  <c r="G305" i="27" s="1"/>
  <c r="G306" i="27" s="1"/>
  <c r="G307" i="27" s="1"/>
  <c r="G308" i="27" s="1"/>
  <c r="G309" i="27" s="1"/>
  <c r="G310" i="27" s="1"/>
  <c r="G311" i="27" s="1"/>
  <c r="G312" i="27" s="1"/>
  <c r="F273" i="27"/>
  <c r="F272" i="27"/>
  <c r="F271" i="27"/>
  <c r="F270" i="27"/>
  <c r="F269" i="27"/>
  <c r="F268" i="27"/>
  <c r="F267" i="27"/>
  <c r="F266" i="27"/>
  <c r="F265" i="27"/>
  <c r="F264" i="27"/>
  <c r="F263" i="27"/>
  <c r="F262" i="27"/>
  <c r="F261" i="27"/>
  <c r="F260" i="27"/>
  <c r="G259" i="27"/>
  <c r="F259" i="27"/>
  <c r="F258" i="27"/>
  <c r="F257" i="27"/>
  <c r="F256" i="27"/>
  <c r="F255" i="27"/>
  <c r="F254" i="27"/>
  <c r="G253" i="27"/>
  <c r="G254" i="27" s="1"/>
  <c r="G255" i="27" s="1"/>
  <c r="G256" i="27" s="1"/>
  <c r="G257" i="27" s="1"/>
  <c r="G258" i="27" s="1"/>
  <c r="F253" i="27"/>
  <c r="F234" i="27"/>
  <c r="F233" i="27"/>
  <c r="F232" i="27"/>
  <c r="F231" i="27"/>
  <c r="F230" i="27"/>
  <c r="F229" i="27"/>
  <c r="F228" i="27"/>
  <c r="F227" i="27"/>
  <c r="F226" i="27"/>
  <c r="F225" i="27"/>
  <c r="F224" i="27"/>
  <c r="F223" i="27"/>
  <c r="F222" i="27"/>
  <c r="F221" i="27"/>
  <c r="F220" i="27"/>
  <c r="F219" i="27"/>
  <c r="F218" i="27"/>
  <c r="F217" i="27"/>
  <c r="F216" i="27"/>
  <c r="F215" i="27"/>
  <c r="F214" i="27"/>
  <c r="F213" i="27"/>
  <c r="F212" i="27"/>
  <c r="G211" i="27"/>
  <c r="G212" i="27" s="1"/>
  <c r="G213" i="27" s="1"/>
  <c r="G214" i="27" s="1"/>
  <c r="G215" i="27" s="1"/>
  <c r="G216" i="27" s="1"/>
  <c r="G217" i="27" s="1"/>
  <c r="G218" i="27" s="1"/>
  <c r="G219" i="27" s="1"/>
  <c r="G220" i="27" s="1"/>
  <c r="G221" i="27" s="1"/>
  <c r="G222" i="27" s="1"/>
  <c r="G223" i="27" s="1"/>
  <c r="G224" i="27" s="1"/>
  <c r="G225" i="27" s="1"/>
  <c r="G226" i="27" s="1"/>
  <c r="G227" i="27" s="1"/>
  <c r="G228" i="27" s="1"/>
  <c r="G229" i="27" s="1"/>
  <c r="G230" i="27" s="1"/>
  <c r="G231" i="27" s="1"/>
  <c r="G232" i="27" s="1"/>
  <c r="G233" i="27" s="1"/>
  <c r="G234" i="27" s="1"/>
  <c r="F211" i="27"/>
  <c r="F210" i="27"/>
  <c r="G210" i="27" s="1"/>
  <c r="F195" i="27"/>
  <c r="F194" i="27"/>
  <c r="F193" i="27"/>
  <c r="F192" i="27"/>
  <c r="F191" i="27"/>
  <c r="F190" i="27"/>
  <c r="F189" i="27"/>
  <c r="F188" i="27"/>
  <c r="F187" i="27"/>
  <c r="F186" i="27"/>
  <c r="F185" i="27"/>
  <c r="F184" i="27"/>
  <c r="F183" i="27"/>
  <c r="F182" i="27"/>
  <c r="F181" i="27"/>
  <c r="F180" i="27"/>
  <c r="F179" i="27"/>
  <c r="F178" i="27"/>
  <c r="E177" i="27"/>
  <c r="F177" i="27" s="1"/>
  <c r="F176" i="27"/>
  <c r="F175" i="27"/>
  <c r="F174" i="27"/>
  <c r="F173" i="27"/>
  <c r="F172" i="27"/>
  <c r="F171" i="27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0" i="27" s="1"/>
  <c r="G191" i="27" s="1"/>
  <c r="G192" i="27" s="1"/>
  <c r="G193" i="27" s="1"/>
  <c r="G194" i="27" s="1"/>
  <c r="G195" i="27" s="1"/>
  <c r="F154" i="27"/>
  <c r="F153" i="27"/>
  <c r="F152" i="27"/>
  <c r="F151" i="27"/>
  <c r="F150" i="27"/>
  <c r="F149" i="27"/>
  <c r="F148" i="27"/>
  <c r="F147" i="27"/>
  <c r="F146" i="27"/>
  <c r="F145" i="27"/>
  <c r="F144" i="27"/>
  <c r="F143" i="27"/>
  <c r="F142" i="27"/>
  <c r="F141" i="27"/>
  <c r="F140" i="27"/>
  <c r="F139" i="27"/>
  <c r="F138" i="27"/>
  <c r="F137" i="27"/>
  <c r="F136" i="27"/>
  <c r="F135" i="27"/>
  <c r="G134" i="27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F134" i="27"/>
  <c r="F132" i="27"/>
  <c r="F131" i="27"/>
  <c r="F130" i="27"/>
  <c r="G130" i="27" s="1"/>
  <c r="G131" i="27" s="1"/>
  <c r="G132" i="27" s="1"/>
  <c r="G133" i="27" s="1"/>
  <c r="F114" i="27"/>
  <c r="F113" i="27"/>
  <c r="F112" i="27"/>
  <c r="F111" i="27"/>
  <c r="F110" i="27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96" i="27"/>
  <c r="F95" i="27"/>
  <c r="G94" i="27"/>
  <c r="F94" i="27"/>
  <c r="G91" i="27"/>
  <c r="G92" i="27" s="1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G59" i="27"/>
  <c r="F59" i="27"/>
  <c r="F58" i="27"/>
  <c r="F57" i="27"/>
  <c r="F56" i="27"/>
  <c r="F55" i="27"/>
  <c r="F54" i="27"/>
  <c r="G53" i="27"/>
  <c r="G54" i="27" s="1"/>
  <c r="G55" i="27" s="1"/>
  <c r="G56" i="27" s="1"/>
  <c r="G57" i="27" s="1"/>
  <c r="G58" i="27" s="1"/>
  <c r="G52" i="27"/>
  <c r="G51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16" i="27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F16" i="27"/>
  <c r="G15" i="27"/>
  <c r="F15" i="27"/>
  <c r="F192" i="12"/>
  <c r="F191" i="12"/>
  <c r="F190" i="12"/>
  <c r="F189" i="12"/>
  <c r="F188" i="12"/>
  <c r="F187" i="12"/>
  <c r="F186" i="12"/>
  <c r="F185" i="12"/>
  <c r="F184" i="12"/>
  <c r="F183" i="12"/>
  <c r="I182" i="12"/>
  <c r="I183" i="12" s="1"/>
  <c r="I184" i="12" s="1"/>
  <c r="I185" i="12" s="1"/>
  <c r="I186" i="12" s="1"/>
  <c r="I187" i="12" s="1"/>
  <c r="I188" i="12" s="1"/>
  <c r="I189" i="12" s="1"/>
  <c r="I190" i="12" s="1"/>
  <c r="I191" i="12" s="1"/>
  <c r="I192" i="12" s="1"/>
  <c r="F182" i="12"/>
  <c r="F181" i="12"/>
  <c r="F180" i="12"/>
  <c r="F179" i="12"/>
  <c r="I178" i="12"/>
  <c r="I179" i="12" s="1"/>
  <c r="F178" i="12"/>
  <c r="F177" i="12"/>
  <c r="F176" i="12"/>
  <c r="F175" i="12"/>
  <c r="I174" i="12"/>
  <c r="I175" i="12" s="1"/>
  <c r="I176" i="12" s="1"/>
  <c r="F174" i="12"/>
  <c r="I173" i="12"/>
  <c r="F173" i="12"/>
  <c r="F172" i="12"/>
  <c r="I171" i="12"/>
  <c r="F171" i="12"/>
  <c r="I170" i="12"/>
  <c r="F170" i="12"/>
  <c r="F169" i="12"/>
  <c r="F168" i="12"/>
  <c r="G168" i="12" s="1"/>
  <c r="F139" i="12"/>
  <c r="F138" i="12"/>
  <c r="F137" i="12"/>
  <c r="F136" i="12"/>
  <c r="F135" i="12"/>
  <c r="F134" i="12"/>
  <c r="F133" i="12"/>
  <c r="F132" i="12"/>
  <c r="F131" i="12"/>
  <c r="I130" i="12"/>
  <c r="I131" i="12" s="1"/>
  <c r="I132" i="12" s="1"/>
  <c r="I133" i="12" s="1"/>
  <c r="I134" i="12" s="1"/>
  <c r="I135" i="12" s="1"/>
  <c r="I136" i="12" s="1"/>
  <c r="I137" i="12" s="1"/>
  <c r="I138" i="12" s="1"/>
  <c r="I139" i="12" s="1"/>
  <c r="F130" i="12"/>
  <c r="I129" i="12"/>
  <c r="F129" i="12"/>
  <c r="F128" i="12"/>
  <c r="F127" i="12"/>
  <c r="I126" i="12"/>
  <c r="F126" i="12"/>
  <c r="I125" i="12"/>
  <c r="F125" i="12"/>
  <c r="F124" i="12"/>
  <c r="F123" i="12"/>
  <c r="F122" i="12"/>
  <c r="I121" i="12"/>
  <c r="I122" i="12" s="1"/>
  <c r="I123" i="12" s="1"/>
  <c r="F121" i="12"/>
  <c r="I120" i="12"/>
  <c r="F120" i="12"/>
  <c r="F119" i="12"/>
  <c r="I118" i="12"/>
  <c r="F118" i="12"/>
  <c r="I117" i="12"/>
  <c r="F117" i="12"/>
  <c r="F116" i="12"/>
  <c r="F115" i="12"/>
  <c r="G115" i="12" s="1"/>
  <c r="F86" i="12"/>
  <c r="F85" i="12"/>
  <c r="F84" i="12"/>
  <c r="F83" i="12"/>
  <c r="F82" i="12"/>
  <c r="F81" i="12"/>
  <c r="F80" i="12"/>
  <c r="F79" i="12"/>
  <c r="F78" i="12"/>
  <c r="I77" i="12"/>
  <c r="I78" i="12" s="1"/>
  <c r="I79" i="12" s="1"/>
  <c r="I80" i="12" s="1"/>
  <c r="I81" i="12" s="1"/>
  <c r="I82" i="12" s="1"/>
  <c r="I83" i="12" s="1"/>
  <c r="I84" i="12" s="1"/>
  <c r="I85" i="12" s="1"/>
  <c r="I86" i="12" s="1"/>
  <c r="F77" i="12"/>
  <c r="I76" i="12"/>
  <c r="F76" i="12"/>
  <c r="F75" i="12"/>
  <c r="F74" i="12"/>
  <c r="I73" i="12"/>
  <c r="F73" i="12"/>
  <c r="I72" i="12"/>
  <c r="F72" i="12"/>
  <c r="F71" i="12"/>
  <c r="F70" i="12"/>
  <c r="F69" i="12"/>
  <c r="I68" i="12"/>
  <c r="I69" i="12" s="1"/>
  <c r="I70" i="12" s="1"/>
  <c r="F68" i="12"/>
  <c r="E68" i="12"/>
  <c r="I67" i="12"/>
  <c r="F67" i="12"/>
  <c r="F66" i="12"/>
  <c r="I65" i="12"/>
  <c r="F65" i="12"/>
  <c r="I64" i="12"/>
  <c r="F64" i="12"/>
  <c r="I63" i="12"/>
  <c r="F63" i="12"/>
  <c r="F62" i="12"/>
  <c r="G62" i="12" s="1"/>
  <c r="F33" i="12"/>
  <c r="F32" i="12"/>
  <c r="F31" i="12"/>
  <c r="F30" i="12"/>
  <c r="F29" i="12"/>
  <c r="F28" i="12"/>
  <c r="F27" i="12"/>
  <c r="F26" i="12"/>
  <c r="F25" i="12"/>
  <c r="F24" i="12"/>
  <c r="I23" i="12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F23" i="12"/>
  <c r="F22" i="12"/>
  <c r="F21" i="12"/>
  <c r="F20" i="12"/>
  <c r="I19" i="12"/>
  <c r="I20" i="12" s="1"/>
  <c r="F19" i="12"/>
  <c r="F18" i="12"/>
  <c r="F17" i="12"/>
  <c r="F16" i="12"/>
  <c r="I15" i="12"/>
  <c r="I16" i="12" s="1"/>
  <c r="I17" i="12" s="1"/>
  <c r="F15" i="12"/>
  <c r="E15" i="12"/>
  <c r="I14" i="12"/>
  <c r="F14" i="12"/>
  <c r="F13" i="12"/>
  <c r="F12" i="12"/>
  <c r="F11" i="12"/>
  <c r="I10" i="12"/>
  <c r="I11" i="12" s="1"/>
  <c r="I12" i="12" s="1"/>
  <c r="F10" i="12"/>
  <c r="F9" i="12"/>
  <c r="G9" i="12" s="1"/>
  <c r="F192" i="9"/>
  <c r="F191" i="9"/>
  <c r="F190" i="9"/>
  <c r="I189" i="9"/>
  <c r="I190" i="9" s="1"/>
  <c r="I191" i="9" s="1"/>
  <c r="I192" i="9" s="1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G172" i="9" s="1"/>
  <c r="H171" i="9"/>
  <c r="F171" i="9"/>
  <c r="F170" i="9"/>
  <c r="F169" i="9"/>
  <c r="F168" i="9"/>
  <c r="G168" i="9" s="1"/>
  <c r="F139" i="9"/>
  <c r="F138" i="9"/>
  <c r="F137" i="9"/>
  <c r="F136" i="9"/>
  <c r="F135" i="9"/>
  <c r="F134" i="9"/>
  <c r="F133" i="9"/>
  <c r="F132" i="9"/>
  <c r="F131" i="9"/>
  <c r="I130" i="9"/>
  <c r="I131" i="9" s="1"/>
  <c r="I132" i="9" s="1"/>
  <c r="I133" i="9" s="1"/>
  <c r="I134" i="9" s="1"/>
  <c r="I135" i="9" s="1"/>
  <c r="I136" i="9" s="1"/>
  <c r="I137" i="9" s="1"/>
  <c r="I138" i="9" s="1"/>
  <c r="I139" i="9" s="1"/>
  <c r="F130" i="9"/>
  <c r="I129" i="9"/>
  <c r="F129" i="9"/>
  <c r="F128" i="9"/>
  <c r="F127" i="9"/>
  <c r="I126" i="9"/>
  <c r="F126" i="9"/>
  <c r="I125" i="9"/>
  <c r="F125" i="9"/>
  <c r="F124" i="9"/>
  <c r="F123" i="9"/>
  <c r="F122" i="9"/>
  <c r="I121" i="9"/>
  <c r="I122" i="9" s="1"/>
  <c r="I123" i="9" s="1"/>
  <c r="F121" i="9"/>
  <c r="I120" i="9"/>
  <c r="F120" i="9"/>
  <c r="F119" i="9"/>
  <c r="F118" i="9"/>
  <c r="I117" i="9"/>
  <c r="I118" i="9" s="1"/>
  <c r="F117" i="9"/>
  <c r="F116" i="9"/>
  <c r="F115" i="9"/>
  <c r="G115" i="9" s="1"/>
  <c r="G116" i="9" s="1"/>
  <c r="F86" i="9"/>
  <c r="F85" i="9"/>
  <c r="I84" i="9"/>
  <c r="I85" i="9" s="1"/>
  <c r="I86" i="9" s="1"/>
  <c r="F84" i="9"/>
  <c r="I83" i="9"/>
  <c r="F83" i="9"/>
  <c r="F82" i="9"/>
  <c r="F81" i="9"/>
  <c r="I80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G62" i="9"/>
  <c r="H62" i="9" s="1"/>
  <c r="F62" i="9"/>
  <c r="F33" i="9"/>
  <c r="F32" i="9"/>
  <c r="F31" i="9"/>
  <c r="F30" i="9"/>
  <c r="F29" i="9"/>
  <c r="F28" i="9"/>
  <c r="F27" i="9"/>
  <c r="F26" i="9"/>
  <c r="F25" i="9"/>
  <c r="F24" i="9"/>
  <c r="I23" i="9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F23" i="9"/>
  <c r="F22" i="9"/>
  <c r="F21" i="9"/>
  <c r="F20" i="9"/>
  <c r="I19" i="9"/>
  <c r="I20" i="9" s="1"/>
  <c r="F19" i="9"/>
  <c r="F18" i="9"/>
  <c r="F17" i="9"/>
  <c r="I16" i="9"/>
  <c r="I17" i="9" s="1"/>
  <c r="F16" i="9"/>
  <c r="I15" i="9"/>
  <c r="F15" i="9"/>
  <c r="I14" i="9"/>
  <c r="F14" i="9"/>
  <c r="F13" i="9"/>
  <c r="I12" i="9"/>
  <c r="F12" i="9"/>
  <c r="I11" i="9"/>
  <c r="F11" i="9"/>
  <c r="F10" i="9"/>
  <c r="G9" i="9"/>
  <c r="G10" i="9" s="1"/>
  <c r="F9" i="9"/>
  <c r="F191" i="7"/>
  <c r="F190" i="7"/>
  <c r="F189" i="7"/>
  <c r="F188" i="7"/>
  <c r="F187" i="7"/>
  <c r="F186" i="7"/>
  <c r="F185" i="7"/>
  <c r="F184" i="7"/>
  <c r="I183" i="7"/>
  <c r="I184" i="7" s="1"/>
  <c r="I185" i="7" s="1"/>
  <c r="I186" i="7" s="1"/>
  <c r="I187" i="7" s="1"/>
  <c r="I188" i="7" s="1"/>
  <c r="I189" i="7" s="1"/>
  <c r="I190" i="7" s="1"/>
  <c r="I191" i="7" s="1"/>
  <c r="F183" i="7"/>
  <c r="I182" i="7"/>
  <c r="F182" i="7"/>
  <c r="F181" i="7"/>
  <c r="F180" i="7"/>
  <c r="I179" i="7"/>
  <c r="F179" i="7"/>
  <c r="I178" i="7"/>
  <c r="F178" i="7"/>
  <c r="F177" i="7"/>
  <c r="F176" i="7"/>
  <c r="F175" i="7"/>
  <c r="F174" i="7"/>
  <c r="I173" i="7"/>
  <c r="I174" i="7" s="1"/>
  <c r="I175" i="7" s="1"/>
  <c r="I176" i="7" s="1"/>
  <c r="F173" i="7"/>
  <c r="F172" i="7"/>
  <c r="F171" i="7"/>
  <c r="I170" i="7"/>
  <c r="I171" i="7" s="1"/>
  <c r="F170" i="7"/>
  <c r="F169" i="7"/>
  <c r="F168" i="7"/>
  <c r="G168" i="7" s="1"/>
  <c r="F139" i="7"/>
  <c r="F138" i="7"/>
  <c r="I137" i="7"/>
  <c r="I138" i="7" s="1"/>
  <c r="I139" i="7" s="1"/>
  <c r="F137" i="7"/>
  <c r="I136" i="7"/>
  <c r="F136" i="7"/>
  <c r="F135" i="7"/>
  <c r="F134" i="7"/>
  <c r="I133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G115" i="7"/>
  <c r="G116" i="7" s="1"/>
  <c r="F115" i="7"/>
  <c r="F86" i="7"/>
  <c r="F85" i="7"/>
  <c r="F84" i="7"/>
  <c r="F83" i="7"/>
  <c r="F82" i="7"/>
  <c r="F81" i="7"/>
  <c r="F80" i="7"/>
  <c r="F79" i="7"/>
  <c r="I78" i="7"/>
  <c r="I79" i="7" s="1"/>
  <c r="I80" i="7" s="1"/>
  <c r="I81" i="7" s="1"/>
  <c r="I82" i="7" s="1"/>
  <c r="I83" i="7" s="1"/>
  <c r="I84" i="7" s="1"/>
  <c r="I85" i="7" s="1"/>
  <c r="I86" i="7" s="1"/>
  <c r="F78" i="7"/>
  <c r="I77" i="7"/>
  <c r="F77" i="7"/>
  <c r="I76" i="7"/>
  <c r="F76" i="7"/>
  <c r="F75" i="7"/>
  <c r="F74" i="7"/>
  <c r="F73" i="7"/>
  <c r="I72" i="7"/>
  <c r="I73" i="7" s="1"/>
  <c r="F72" i="7"/>
  <c r="F71" i="7"/>
  <c r="F70" i="7"/>
  <c r="I69" i="7"/>
  <c r="I70" i="7" s="1"/>
  <c r="F69" i="7"/>
  <c r="I68" i="7"/>
  <c r="F68" i="7"/>
  <c r="I67" i="7"/>
  <c r="F67" i="7"/>
  <c r="F66" i="7"/>
  <c r="I65" i="7"/>
  <c r="F65" i="7"/>
  <c r="I64" i="7"/>
  <c r="F64" i="7"/>
  <c r="I63" i="7"/>
  <c r="F63" i="7"/>
  <c r="F62" i="7"/>
  <c r="G62" i="7" s="1"/>
  <c r="F33" i="7"/>
  <c r="F32" i="7"/>
  <c r="F31" i="7"/>
  <c r="F30" i="7"/>
  <c r="F29" i="7"/>
  <c r="F28" i="7"/>
  <c r="F27" i="7"/>
  <c r="F26" i="7"/>
  <c r="F25" i="7"/>
  <c r="F24" i="7"/>
  <c r="I23" i="7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F23" i="7"/>
  <c r="F22" i="7"/>
  <c r="F21" i="7"/>
  <c r="F20" i="7"/>
  <c r="I19" i="7"/>
  <c r="I20" i="7" s="1"/>
  <c r="F19" i="7"/>
  <c r="F18" i="7"/>
  <c r="F17" i="7"/>
  <c r="F16" i="7"/>
  <c r="I15" i="7"/>
  <c r="I16" i="7" s="1"/>
  <c r="I17" i="7" s="1"/>
  <c r="F15" i="7"/>
  <c r="I14" i="7"/>
  <c r="F14" i="7"/>
  <c r="F13" i="7"/>
  <c r="F12" i="7"/>
  <c r="F11" i="7"/>
  <c r="I10" i="7"/>
  <c r="I11" i="7" s="1"/>
  <c r="I12" i="7" s="1"/>
  <c r="F10" i="7"/>
  <c r="F9" i="7"/>
  <c r="G9" i="7" s="1"/>
  <c r="F192" i="10"/>
  <c r="F191" i="10"/>
  <c r="F190" i="10"/>
  <c r="F189" i="10"/>
  <c r="F188" i="10"/>
  <c r="F187" i="10"/>
  <c r="F186" i="10"/>
  <c r="F185" i="10"/>
  <c r="F184" i="10"/>
  <c r="F183" i="10"/>
  <c r="I182" i="10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F182" i="10"/>
  <c r="F181" i="10"/>
  <c r="F180" i="10"/>
  <c r="F179" i="10"/>
  <c r="I178" i="10"/>
  <c r="I179" i="10" s="1"/>
  <c r="F178" i="10"/>
  <c r="F177" i="10"/>
  <c r="F176" i="10"/>
  <c r="F175" i="10"/>
  <c r="F174" i="10"/>
  <c r="I173" i="10"/>
  <c r="I174" i="10" s="1"/>
  <c r="I175" i="10" s="1"/>
  <c r="I176" i="10" s="1"/>
  <c r="F173" i="10"/>
  <c r="F172" i="10"/>
  <c r="I171" i="10"/>
  <c r="F171" i="10"/>
  <c r="I170" i="10"/>
  <c r="F170" i="10"/>
  <c r="F169" i="10"/>
  <c r="F168" i="10"/>
  <c r="G168" i="10" s="1"/>
  <c r="F139" i="10"/>
  <c r="F138" i="10"/>
  <c r="F137" i="10"/>
  <c r="I136" i="10"/>
  <c r="I137" i="10" s="1"/>
  <c r="I138" i="10" s="1"/>
  <c r="I139" i="10" s="1"/>
  <c r="F136" i="10"/>
  <c r="F135" i="10"/>
  <c r="F134" i="10"/>
  <c r="I133" i="10"/>
  <c r="I134" i="10" s="1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H115" i="10"/>
  <c r="G115" i="10"/>
  <c r="G116" i="10" s="1"/>
  <c r="F115" i="10"/>
  <c r="F86" i="10"/>
  <c r="F85" i="10"/>
  <c r="F84" i="10"/>
  <c r="F83" i="10"/>
  <c r="F82" i="10"/>
  <c r="F81" i="10"/>
  <c r="F80" i="10"/>
  <c r="F79" i="10"/>
  <c r="F78" i="10"/>
  <c r="F77" i="10"/>
  <c r="I76" i="10"/>
  <c r="I77" i="10" s="1"/>
  <c r="I78" i="10" s="1"/>
  <c r="I79" i="10" s="1"/>
  <c r="I80" i="10" s="1"/>
  <c r="I81" i="10" s="1"/>
  <c r="I82" i="10" s="1"/>
  <c r="I83" i="10" s="1"/>
  <c r="I84" i="10" s="1"/>
  <c r="I85" i="10" s="1"/>
  <c r="I86" i="10" s="1"/>
  <c r="F76" i="10"/>
  <c r="F75" i="10"/>
  <c r="F74" i="10"/>
  <c r="F73" i="10"/>
  <c r="I72" i="10"/>
  <c r="I73" i="10" s="1"/>
  <c r="F72" i="10"/>
  <c r="F71" i="10"/>
  <c r="F70" i="10"/>
  <c r="F69" i="10"/>
  <c r="I68" i="10"/>
  <c r="I69" i="10" s="1"/>
  <c r="I70" i="10" s="1"/>
  <c r="F68" i="10"/>
  <c r="I67" i="10"/>
  <c r="F67" i="10"/>
  <c r="F66" i="10"/>
  <c r="F65" i="10"/>
  <c r="F64" i="10"/>
  <c r="I63" i="10"/>
  <c r="I64" i="10" s="1"/>
  <c r="I65" i="10" s="1"/>
  <c r="F63" i="10"/>
  <c r="F62" i="10"/>
  <c r="G62" i="10" s="1"/>
  <c r="F33" i="10"/>
  <c r="F32" i="10"/>
  <c r="F31" i="10"/>
  <c r="F30" i="10"/>
  <c r="F29" i="10"/>
  <c r="F28" i="10"/>
  <c r="F27" i="10"/>
  <c r="F26" i="10"/>
  <c r="F25" i="10"/>
  <c r="I24" i="10"/>
  <c r="I25" i="10" s="1"/>
  <c r="I26" i="10" s="1"/>
  <c r="I27" i="10" s="1"/>
  <c r="I28" i="10" s="1"/>
  <c r="I29" i="10" s="1"/>
  <c r="I30" i="10" s="1"/>
  <c r="I31" i="10" s="1"/>
  <c r="I32" i="10" s="1"/>
  <c r="I33" i="10" s="1"/>
  <c r="F24" i="10"/>
  <c r="I23" i="10"/>
  <c r="F23" i="10"/>
  <c r="F22" i="10"/>
  <c r="F21" i="10"/>
  <c r="F20" i="10"/>
  <c r="I19" i="10"/>
  <c r="I20" i="10" s="1"/>
  <c r="F19" i="10"/>
  <c r="F18" i="10"/>
  <c r="F17" i="10"/>
  <c r="F16" i="10"/>
  <c r="F15" i="10"/>
  <c r="I14" i="10"/>
  <c r="I15" i="10" s="1"/>
  <c r="I16" i="10" s="1"/>
  <c r="I17" i="10" s="1"/>
  <c r="F14" i="10"/>
  <c r="F13" i="10"/>
  <c r="F12" i="10"/>
  <c r="I11" i="10"/>
  <c r="I12" i="10" s="1"/>
  <c r="F11" i="10"/>
  <c r="I10" i="10"/>
  <c r="F10" i="10"/>
  <c r="F9" i="10"/>
  <c r="G9" i="10" s="1"/>
  <c r="F192" i="5"/>
  <c r="F191" i="5"/>
  <c r="F190" i="5"/>
  <c r="F189" i="5"/>
  <c r="F188" i="5"/>
  <c r="F187" i="5"/>
  <c r="F186" i="5"/>
  <c r="F185" i="5"/>
  <c r="F184" i="5"/>
  <c r="F183" i="5"/>
  <c r="I182" i="5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F182" i="5"/>
  <c r="F181" i="5"/>
  <c r="F180" i="5"/>
  <c r="F179" i="5"/>
  <c r="I178" i="5"/>
  <c r="I179" i="5" s="1"/>
  <c r="F178" i="5"/>
  <c r="F177" i="5"/>
  <c r="F176" i="5"/>
  <c r="F175" i="5"/>
  <c r="I174" i="5"/>
  <c r="I175" i="5" s="1"/>
  <c r="I176" i="5" s="1"/>
  <c r="F174" i="5"/>
  <c r="I173" i="5"/>
  <c r="F173" i="5"/>
  <c r="F172" i="5"/>
  <c r="I171" i="5"/>
  <c r="F171" i="5"/>
  <c r="I170" i="5"/>
  <c r="F170" i="5"/>
  <c r="F169" i="5"/>
  <c r="F168" i="5"/>
  <c r="G168" i="5" s="1"/>
  <c r="F139" i="5"/>
  <c r="F138" i="5"/>
  <c r="I137" i="5"/>
  <c r="I138" i="5" s="1"/>
  <c r="I139" i="5" s="1"/>
  <c r="F137" i="5"/>
  <c r="I136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G115" i="5" s="1"/>
  <c r="F86" i="5"/>
  <c r="F85" i="5"/>
  <c r="F84" i="5"/>
  <c r="F83" i="5"/>
  <c r="F82" i="5"/>
  <c r="F81" i="5"/>
  <c r="F80" i="5"/>
  <c r="F79" i="5"/>
  <c r="I78" i="5"/>
  <c r="I79" i="5" s="1"/>
  <c r="I80" i="5" s="1"/>
  <c r="I81" i="5" s="1"/>
  <c r="I82" i="5" s="1"/>
  <c r="I83" i="5" s="1"/>
  <c r="I84" i="5" s="1"/>
  <c r="I85" i="5" s="1"/>
  <c r="I86" i="5" s="1"/>
  <c r="F78" i="5"/>
  <c r="I77" i="5"/>
  <c r="F77" i="5"/>
  <c r="I76" i="5"/>
  <c r="F76" i="5"/>
  <c r="F75" i="5"/>
  <c r="F74" i="5"/>
  <c r="F73" i="5"/>
  <c r="I72" i="5"/>
  <c r="I73" i="5" s="1"/>
  <c r="F72" i="5"/>
  <c r="F71" i="5"/>
  <c r="F70" i="5"/>
  <c r="F69" i="5"/>
  <c r="F68" i="5"/>
  <c r="F67" i="5"/>
  <c r="F66" i="5"/>
  <c r="I65" i="5"/>
  <c r="I66" i="5" s="1"/>
  <c r="I67" i="5" s="1"/>
  <c r="I68" i="5" s="1"/>
  <c r="I69" i="5" s="1"/>
  <c r="I70" i="5" s="1"/>
  <c r="F65" i="5"/>
  <c r="I64" i="5"/>
  <c r="D64" i="5"/>
  <c r="F64" i="5" s="1"/>
  <c r="F63" i="5"/>
  <c r="F62" i="5"/>
  <c r="G62" i="5" s="1"/>
  <c r="F33" i="5"/>
  <c r="F32" i="5"/>
  <c r="F31" i="5"/>
  <c r="F30" i="5"/>
  <c r="F29" i="5"/>
  <c r="F28" i="5"/>
  <c r="F27" i="5"/>
  <c r="F26" i="5"/>
  <c r="F25" i="5"/>
  <c r="I24" i="5"/>
  <c r="I25" i="5" s="1"/>
  <c r="I26" i="5" s="1"/>
  <c r="I27" i="5" s="1"/>
  <c r="I28" i="5" s="1"/>
  <c r="I29" i="5" s="1"/>
  <c r="I30" i="5" s="1"/>
  <c r="I31" i="5" s="1"/>
  <c r="I32" i="5" s="1"/>
  <c r="I33" i="5" s="1"/>
  <c r="F24" i="5"/>
  <c r="I23" i="5"/>
  <c r="F23" i="5"/>
  <c r="F22" i="5"/>
  <c r="F21" i="5"/>
  <c r="F20" i="5"/>
  <c r="I19" i="5"/>
  <c r="I20" i="5" s="1"/>
  <c r="F19" i="5"/>
  <c r="F18" i="5"/>
  <c r="F17" i="5"/>
  <c r="F16" i="5"/>
  <c r="I15" i="5"/>
  <c r="I16" i="5" s="1"/>
  <c r="I17" i="5" s="1"/>
  <c r="F15" i="5"/>
  <c r="I14" i="5"/>
  <c r="F14" i="5"/>
  <c r="F13" i="5"/>
  <c r="F12" i="5"/>
  <c r="I11" i="5"/>
  <c r="I12" i="5" s="1"/>
  <c r="F11" i="5"/>
  <c r="I10" i="5"/>
  <c r="F10" i="5"/>
  <c r="F9" i="5"/>
  <c r="G9" i="5" s="1"/>
  <c r="F192" i="11"/>
  <c r="F191" i="11"/>
  <c r="F190" i="11"/>
  <c r="F189" i="11"/>
  <c r="F188" i="11"/>
  <c r="F187" i="11"/>
  <c r="F186" i="11"/>
  <c r="F185" i="11"/>
  <c r="F184" i="11"/>
  <c r="F183" i="11"/>
  <c r="I182" i="11"/>
  <c r="I183" i="11" s="1"/>
  <c r="I184" i="11" s="1"/>
  <c r="I185" i="11" s="1"/>
  <c r="I186" i="11" s="1"/>
  <c r="I187" i="11" s="1"/>
  <c r="I188" i="11" s="1"/>
  <c r="I189" i="11" s="1"/>
  <c r="I190" i="11" s="1"/>
  <c r="I191" i="11" s="1"/>
  <c r="I192" i="11" s="1"/>
  <c r="F182" i="11"/>
  <c r="F181" i="11"/>
  <c r="F180" i="11"/>
  <c r="F179" i="11"/>
  <c r="I178" i="11"/>
  <c r="I179" i="11" s="1"/>
  <c r="F178" i="11"/>
  <c r="F177" i="11"/>
  <c r="F176" i="11"/>
  <c r="I175" i="11"/>
  <c r="I176" i="11" s="1"/>
  <c r="F175" i="11"/>
  <c r="I174" i="11"/>
  <c r="F174" i="11"/>
  <c r="I173" i="11"/>
  <c r="F173" i="11"/>
  <c r="F172" i="11"/>
  <c r="I171" i="11"/>
  <c r="F171" i="11"/>
  <c r="I170" i="11"/>
  <c r="F170" i="11"/>
  <c r="F169" i="11"/>
  <c r="F168" i="11"/>
  <c r="G168" i="11" s="1"/>
  <c r="F139" i="11"/>
  <c r="F138" i="11"/>
  <c r="F137" i="11"/>
  <c r="F136" i="11"/>
  <c r="F135" i="11"/>
  <c r="F134" i="11"/>
  <c r="F133" i="11"/>
  <c r="F132" i="11"/>
  <c r="F131" i="11"/>
  <c r="I130" i="11"/>
  <c r="I131" i="11" s="1"/>
  <c r="I132" i="11" s="1"/>
  <c r="I133" i="11" s="1"/>
  <c r="I134" i="11" s="1"/>
  <c r="I135" i="11" s="1"/>
  <c r="I136" i="11" s="1"/>
  <c r="I137" i="11" s="1"/>
  <c r="I138" i="11" s="1"/>
  <c r="I139" i="11" s="1"/>
  <c r="F130" i="11"/>
  <c r="I129" i="11"/>
  <c r="F129" i="11"/>
  <c r="F128" i="11"/>
  <c r="F127" i="11"/>
  <c r="F126" i="11"/>
  <c r="I125" i="11"/>
  <c r="I126" i="11" s="1"/>
  <c r="F125" i="11"/>
  <c r="F124" i="11"/>
  <c r="F123" i="11"/>
  <c r="F122" i="11"/>
  <c r="I121" i="11"/>
  <c r="I122" i="11" s="1"/>
  <c r="I123" i="11" s="1"/>
  <c r="F121" i="11"/>
  <c r="I120" i="11"/>
  <c r="F120" i="11"/>
  <c r="F119" i="11"/>
  <c r="F118" i="11"/>
  <c r="I117" i="11"/>
  <c r="I118" i="11" s="1"/>
  <c r="F117" i="11"/>
  <c r="F116" i="11"/>
  <c r="F115" i="11"/>
  <c r="G115" i="11" s="1"/>
  <c r="F86" i="11"/>
  <c r="F85" i="11"/>
  <c r="F84" i="11"/>
  <c r="F83" i="11"/>
  <c r="F82" i="11"/>
  <c r="F81" i="11"/>
  <c r="F80" i="11"/>
  <c r="F79" i="11"/>
  <c r="I78" i="11"/>
  <c r="I79" i="11" s="1"/>
  <c r="I80" i="11" s="1"/>
  <c r="I81" i="11" s="1"/>
  <c r="I82" i="11" s="1"/>
  <c r="I83" i="11" s="1"/>
  <c r="I84" i="11" s="1"/>
  <c r="I85" i="11" s="1"/>
  <c r="I86" i="11" s="1"/>
  <c r="F78" i="11"/>
  <c r="I77" i="11"/>
  <c r="F77" i="11"/>
  <c r="I76" i="11"/>
  <c r="F76" i="11"/>
  <c r="F75" i="11"/>
  <c r="F74" i="11"/>
  <c r="F73" i="11"/>
  <c r="I72" i="11"/>
  <c r="I73" i="11" s="1"/>
  <c r="F72" i="11"/>
  <c r="F71" i="11"/>
  <c r="F70" i="11"/>
  <c r="F69" i="11"/>
  <c r="I68" i="11"/>
  <c r="I69" i="11" s="1"/>
  <c r="I70" i="11" s="1"/>
  <c r="F68" i="11"/>
  <c r="I67" i="11"/>
  <c r="F67" i="11"/>
  <c r="F66" i="11"/>
  <c r="I65" i="11"/>
  <c r="F65" i="11"/>
  <c r="I64" i="11"/>
  <c r="F64" i="11"/>
  <c r="I63" i="11"/>
  <c r="F63" i="11"/>
  <c r="F62" i="11"/>
  <c r="G62" i="11" s="1"/>
  <c r="F33" i="11"/>
  <c r="F32" i="11"/>
  <c r="F31" i="11"/>
  <c r="F30" i="11"/>
  <c r="F29" i="11"/>
  <c r="F28" i="11"/>
  <c r="F27" i="11"/>
  <c r="F26" i="11"/>
  <c r="F25" i="11"/>
  <c r="F24" i="11"/>
  <c r="F23" i="11"/>
  <c r="I22" i="1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F22" i="11"/>
  <c r="F21" i="11"/>
  <c r="F20" i="11"/>
  <c r="I19" i="11"/>
  <c r="I20" i="11" s="1"/>
  <c r="F19" i="11"/>
  <c r="F18" i="11"/>
  <c r="F17" i="11"/>
  <c r="I15" i="11"/>
  <c r="I16" i="11" s="1"/>
  <c r="I17" i="11" s="1"/>
  <c r="F15" i="11"/>
  <c r="I14" i="11"/>
  <c r="F14" i="11"/>
  <c r="F13" i="11"/>
  <c r="F12" i="11"/>
  <c r="F11" i="11"/>
  <c r="I10" i="11"/>
  <c r="I11" i="11" s="1"/>
  <c r="I12" i="11" s="1"/>
  <c r="F10" i="11"/>
  <c r="F9" i="11"/>
  <c r="G9" i="11" s="1"/>
  <c r="F192" i="4"/>
  <c r="F191" i="4"/>
  <c r="F190" i="4"/>
  <c r="F189" i="4"/>
  <c r="F188" i="4"/>
  <c r="F187" i="4"/>
  <c r="F186" i="4"/>
  <c r="F185" i="4"/>
  <c r="F184" i="4"/>
  <c r="F183" i="4"/>
  <c r="I182" i="4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F182" i="4"/>
  <c r="I181" i="4"/>
  <c r="F181" i="4"/>
  <c r="F180" i="4"/>
  <c r="F179" i="4"/>
  <c r="I178" i="4"/>
  <c r="I179" i="4" s="1"/>
  <c r="F178" i="4"/>
  <c r="F177" i="4"/>
  <c r="F176" i="4"/>
  <c r="I175" i="4"/>
  <c r="I176" i="4" s="1"/>
  <c r="F175" i="4"/>
  <c r="I174" i="4"/>
  <c r="F174" i="4"/>
  <c r="I173" i="4"/>
  <c r="F173" i="4"/>
  <c r="F172" i="4"/>
  <c r="I171" i="4"/>
  <c r="F171" i="4"/>
  <c r="I170" i="4"/>
  <c r="F170" i="4"/>
  <c r="G169" i="4"/>
  <c r="H169" i="4" s="1"/>
  <c r="F169" i="4"/>
  <c r="G168" i="4"/>
  <c r="H168" i="4" s="1"/>
  <c r="F168" i="4"/>
  <c r="F139" i="4"/>
  <c r="F138" i="4"/>
  <c r="F137" i="4"/>
  <c r="F136" i="4"/>
  <c r="F135" i="4"/>
  <c r="F134" i="4"/>
  <c r="F133" i="4"/>
  <c r="F132" i="4"/>
  <c r="F131" i="4"/>
  <c r="F130" i="4"/>
  <c r="F129" i="4"/>
  <c r="I128" i="4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F128" i="4"/>
  <c r="F127" i="4"/>
  <c r="F126" i="4"/>
  <c r="I125" i="4"/>
  <c r="I126" i="4" s="1"/>
  <c r="F125" i="4"/>
  <c r="F124" i="4"/>
  <c r="F123" i="4"/>
  <c r="F122" i="4"/>
  <c r="I121" i="4"/>
  <c r="I122" i="4" s="1"/>
  <c r="I123" i="4" s="1"/>
  <c r="F121" i="4"/>
  <c r="I120" i="4"/>
  <c r="F120" i="4"/>
  <c r="F119" i="4"/>
  <c r="I118" i="4"/>
  <c r="F118" i="4"/>
  <c r="I117" i="4"/>
  <c r="F117" i="4"/>
  <c r="F116" i="4"/>
  <c r="F115" i="4"/>
  <c r="G115" i="4" s="1"/>
  <c r="F86" i="4"/>
  <c r="F85" i="4"/>
  <c r="F84" i="4"/>
  <c r="F83" i="4"/>
  <c r="F82" i="4"/>
  <c r="F81" i="4"/>
  <c r="F80" i="4"/>
  <c r="F79" i="4"/>
  <c r="F78" i="4"/>
  <c r="F77" i="4"/>
  <c r="F76" i="4"/>
  <c r="I75" i="4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F75" i="4"/>
  <c r="F74" i="4"/>
  <c r="I73" i="4"/>
  <c r="F73" i="4"/>
  <c r="I72" i="4"/>
  <c r="F72" i="4"/>
  <c r="F71" i="4"/>
  <c r="F70" i="4"/>
  <c r="F69" i="4"/>
  <c r="I68" i="4"/>
  <c r="I69" i="4" s="1"/>
  <c r="I70" i="4" s="1"/>
  <c r="F68" i="4"/>
  <c r="I67" i="4"/>
  <c r="F67" i="4"/>
  <c r="F66" i="4"/>
  <c r="F65" i="4"/>
  <c r="E64" i="4"/>
  <c r="F64" i="4" s="1"/>
  <c r="D64" i="4"/>
  <c r="I63" i="4"/>
  <c r="I64" i="4" s="1"/>
  <c r="I65" i="4" s="1"/>
  <c r="F63" i="4"/>
  <c r="G63" i="4" s="1"/>
  <c r="H62" i="4"/>
  <c r="G62" i="4"/>
  <c r="F62" i="4"/>
  <c r="F33" i="4"/>
  <c r="F32" i="4"/>
  <c r="F31" i="4"/>
  <c r="F30" i="4"/>
  <c r="F29" i="4"/>
  <c r="F28" i="4"/>
  <c r="E28" i="4"/>
  <c r="F27" i="4"/>
  <c r="F26" i="4"/>
  <c r="F25" i="4"/>
  <c r="F24" i="4"/>
  <c r="I23" i="4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F23" i="4"/>
  <c r="I22" i="4"/>
  <c r="F22" i="4"/>
  <c r="F21" i="4"/>
  <c r="I20" i="4"/>
  <c r="F20" i="4"/>
  <c r="I19" i="4"/>
  <c r="F19" i="4"/>
  <c r="F18" i="4"/>
  <c r="F17" i="4"/>
  <c r="F16" i="4"/>
  <c r="I15" i="4"/>
  <c r="I16" i="4" s="1"/>
  <c r="I17" i="4" s="1"/>
  <c r="F15" i="4"/>
  <c r="F14" i="4"/>
  <c r="F13" i="4"/>
  <c r="F12" i="4"/>
  <c r="F11" i="4"/>
  <c r="D11" i="4"/>
  <c r="I10" i="4"/>
  <c r="I11" i="4" s="1"/>
  <c r="I12" i="4" s="1"/>
  <c r="F10" i="4"/>
  <c r="G10" i="4" s="1"/>
  <c r="H9" i="4"/>
  <c r="G9" i="4"/>
  <c r="F9" i="4"/>
  <c r="L192" i="1"/>
  <c r="F192" i="1"/>
  <c r="F191" i="1"/>
  <c r="F190" i="1"/>
  <c r="F189" i="1"/>
  <c r="F188" i="1"/>
  <c r="L187" i="1"/>
  <c r="F187" i="1"/>
  <c r="F186" i="1"/>
  <c r="F185" i="1"/>
  <c r="F184" i="1"/>
  <c r="F183" i="1"/>
  <c r="F182" i="1"/>
  <c r="I181" i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F181" i="1"/>
  <c r="F180" i="1"/>
  <c r="F179" i="1"/>
  <c r="I178" i="1"/>
  <c r="I179" i="1" s="1"/>
  <c r="F178" i="1"/>
  <c r="F177" i="1"/>
  <c r="F176" i="1"/>
  <c r="I175" i="1"/>
  <c r="F175" i="1"/>
  <c r="F174" i="1"/>
  <c r="L173" i="1"/>
  <c r="F173" i="1"/>
  <c r="L172" i="1"/>
  <c r="F172" i="1"/>
  <c r="L171" i="1"/>
  <c r="F171" i="1"/>
  <c r="E171" i="1"/>
  <c r="L170" i="1"/>
  <c r="F170" i="1"/>
  <c r="L169" i="1"/>
  <c r="I169" i="1"/>
  <c r="I170" i="1" s="1"/>
  <c r="I171" i="1" s="1"/>
  <c r="F169" i="1"/>
  <c r="L168" i="1"/>
  <c r="F168" i="1"/>
  <c r="G168" i="1" s="1"/>
  <c r="F86" i="1"/>
  <c r="F85" i="1"/>
  <c r="F84" i="1"/>
  <c r="L83" i="1"/>
  <c r="L84" i="1" s="1"/>
  <c r="L85" i="1" s="1"/>
  <c r="L86" i="1" s="1"/>
  <c r="F83" i="1"/>
  <c r="F82" i="1"/>
  <c r="F81" i="1"/>
  <c r="F80" i="1"/>
  <c r="F79" i="1"/>
  <c r="F78" i="1"/>
  <c r="F77" i="1"/>
  <c r="I76" i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F76" i="1"/>
  <c r="I75" i="1"/>
  <c r="F75" i="1"/>
  <c r="F74" i="1"/>
  <c r="I73" i="1"/>
  <c r="F73" i="1"/>
  <c r="I72" i="1"/>
  <c r="F72" i="1"/>
  <c r="F71" i="1"/>
  <c r="F70" i="1"/>
  <c r="I69" i="1"/>
  <c r="F69" i="1"/>
  <c r="L67" i="1"/>
  <c r="F67" i="1"/>
  <c r="F66" i="1"/>
  <c r="F65" i="1"/>
  <c r="I64" i="1"/>
  <c r="I65" i="1" s="1"/>
  <c r="F64" i="1"/>
  <c r="L63" i="1"/>
  <c r="I63" i="1"/>
  <c r="F63" i="1"/>
  <c r="L62" i="1"/>
  <c r="F62" i="1"/>
  <c r="G62" i="1" s="1"/>
  <c r="F33" i="1"/>
  <c r="F32" i="1"/>
  <c r="F31" i="1"/>
  <c r="L30" i="1"/>
  <c r="L31" i="1" s="1"/>
  <c r="L32" i="1" s="1"/>
  <c r="L33" i="1" s="1"/>
  <c r="F30" i="1"/>
  <c r="F29" i="1"/>
  <c r="E28" i="1"/>
  <c r="F28" i="1" s="1"/>
  <c r="F27" i="1"/>
  <c r="F26" i="1"/>
  <c r="F25" i="1"/>
  <c r="F24" i="1"/>
  <c r="F23" i="1"/>
  <c r="F22" i="1"/>
  <c r="F21" i="1"/>
  <c r="F20" i="1"/>
  <c r="I19" i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F19" i="1"/>
  <c r="F18" i="1"/>
  <c r="F17" i="1"/>
  <c r="I16" i="1"/>
  <c r="F16" i="1"/>
  <c r="E15" i="1"/>
  <c r="F15" i="1" s="1"/>
  <c r="L14" i="1"/>
  <c r="F14" i="1"/>
  <c r="L13" i="1"/>
  <c r="F13" i="1"/>
  <c r="L12" i="1"/>
  <c r="E12" i="1"/>
  <c r="F12" i="1" s="1"/>
  <c r="I11" i="1"/>
  <c r="I12" i="1" s="1"/>
  <c r="F11" i="1"/>
  <c r="L10" i="1"/>
  <c r="I10" i="1"/>
  <c r="F10" i="1"/>
  <c r="L9" i="1"/>
  <c r="F9" i="1"/>
  <c r="G9" i="1" s="1"/>
  <c r="K115" i="1" l="1"/>
  <c r="G116" i="1"/>
  <c r="G117" i="1"/>
  <c r="G95" i="27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649" i="27"/>
  <c r="G650" i="27" s="1"/>
  <c r="G651" i="27" s="1"/>
  <c r="G652" i="27" s="1"/>
  <c r="G653" i="27" s="1"/>
  <c r="G654" i="27" s="1"/>
  <c r="G655" i="27" s="1"/>
  <c r="G656" i="27" s="1"/>
  <c r="G657" i="27" s="1"/>
  <c r="G658" i="27" s="1"/>
  <c r="G659" i="27" s="1"/>
  <c r="G660" i="27" s="1"/>
  <c r="G661" i="27" s="1"/>
  <c r="G662" i="27" s="1"/>
  <c r="G663" i="27" s="1"/>
  <c r="G664" i="27" s="1"/>
  <c r="G665" i="27" s="1"/>
  <c r="G666" i="27" s="1"/>
  <c r="G667" i="27" s="1"/>
  <c r="G668" i="27" s="1"/>
  <c r="G669" i="27" s="1"/>
  <c r="G670" i="27" s="1"/>
  <c r="G60" i="27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260" i="27"/>
  <c r="G261" i="27" s="1"/>
  <c r="G262" i="27" s="1"/>
  <c r="G263" i="27" s="1"/>
  <c r="G264" i="27" s="1"/>
  <c r="G265" i="27" s="1"/>
  <c r="G266" i="27" s="1"/>
  <c r="G267" i="27" s="1"/>
  <c r="G268" i="27" s="1"/>
  <c r="G269" i="27" s="1"/>
  <c r="G270" i="27" s="1"/>
  <c r="G271" i="27" s="1"/>
  <c r="G272" i="27" s="1"/>
  <c r="G273" i="27" s="1"/>
  <c r="G411" i="27"/>
  <c r="G412" i="27" s="1"/>
  <c r="G413" i="27" s="1"/>
  <c r="G414" i="27" s="1"/>
  <c r="G415" i="27" s="1"/>
  <c r="G416" i="27" s="1"/>
  <c r="G417" i="27" s="1"/>
  <c r="G418" i="27" s="1"/>
  <c r="G419" i="27" s="1"/>
  <c r="G420" i="27" s="1"/>
  <c r="G421" i="27" s="1"/>
  <c r="G422" i="27" s="1"/>
  <c r="G423" i="27" s="1"/>
  <c r="G424" i="27" s="1"/>
  <c r="G425" i="27" s="1"/>
  <c r="G426" i="27" s="1"/>
  <c r="G427" i="27" s="1"/>
  <c r="G428" i="27" s="1"/>
  <c r="G429" i="27" s="1"/>
  <c r="G430" i="27" s="1"/>
  <c r="G688" i="27"/>
  <c r="G689" i="27" s="1"/>
  <c r="G690" i="27" s="1"/>
  <c r="G691" i="27" s="1"/>
  <c r="G692" i="27" s="1"/>
  <c r="G693" i="27" s="1"/>
  <c r="G694" i="27" s="1"/>
  <c r="G695" i="27" s="1"/>
  <c r="G696" i="27" s="1"/>
  <c r="G697" i="27" s="1"/>
  <c r="G698" i="27" s="1"/>
  <c r="G699" i="27" s="1"/>
  <c r="G700" i="27" s="1"/>
  <c r="G701" i="27" s="1"/>
  <c r="G702" i="27" s="1"/>
  <c r="G703" i="27" s="1"/>
  <c r="G704" i="27" s="1"/>
  <c r="G705" i="27" s="1"/>
  <c r="G706" i="27" s="1"/>
  <c r="G707" i="27" s="1"/>
  <c r="G708" i="27" s="1"/>
  <c r="G709" i="27" s="1"/>
  <c r="G169" i="12"/>
  <c r="H168" i="12"/>
  <c r="G116" i="12"/>
  <c r="H115" i="12"/>
  <c r="H62" i="12"/>
  <c r="G63" i="12"/>
  <c r="G10" i="12"/>
  <c r="H9" i="12"/>
  <c r="H172" i="9"/>
  <c r="G173" i="9"/>
  <c r="G169" i="9"/>
  <c r="H168" i="9"/>
  <c r="G117" i="9"/>
  <c r="H116" i="9"/>
  <c r="G63" i="9"/>
  <c r="H10" i="9"/>
  <c r="G11" i="9"/>
  <c r="H9" i="9"/>
  <c r="G169" i="7"/>
  <c r="H168" i="7"/>
  <c r="G117" i="7"/>
  <c r="H116" i="7"/>
  <c r="H115" i="7"/>
  <c r="G63" i="7"/>
  <c r="H62" i="7"/>
  <c r="G10" i="7"/>
  <c r="H9" i="7"/>
  <c r="G169" i="10"/>
  <c r="H168" i="10"/>
  <c r="G117" i="10"/>
  <c r="H116" i="10"/>
  <c r="G63" i="10"/>
  <c r="H62" i="10"/>
  <c r="G10" i="10"/>
  <c r="H9" i="10"/>
  <c r="G169" i="5"/>
  <c r="H168" i="5"/>
  <c r="G116" i="5"/>
  <c r="H115" i="5"/>
  <c r="H62" i="5"/>
  <c r="G63" i="5"/>
  <c r="G10" i="5"/>
  <c r="H9" i="5"/>
  <c r="H168" i="11"/>
  <c r="G169" i="11"/>
  <c r="G116" i="11"/>
  <c r="H115" i="11"/>
  <c r="G63" i="11"/>
  <c r="H62" i="11"/>
  <c r="G10" i="11"/>
  <c r="H9" i="11"/>
  <c r="G170" i="4"/>
  <c r="G116" i="4"/>
  <c r="H115" i="4"/>
  <c r="G64" i="4"/>
  <c r="H63" i="4"/>
  <c r="G11" i="4"/>
  <c r="H10" i="4"/>
  <c r="K168" i="1"/>
  <c r="G169" i="1"/>
  <c r="K62" i="1"/>
  <c r="H62" i="1"/>
  <c r="G63" i="1"/>
  <c r="H9" i="1"/>
  <c r="K9" i="1"/>
  <c r="G10" i="1"/>
  <c r="K116" i="1" l="1"/>
  <c r="H116" i="1"/>
  <c r="K117" i="1"/>
  <c r="G118" i="1"/>
  <c r="H117" i="1"/>
  <c r="G170" i="12"/>
  <c r="H169" i="12"/>
  <c r="G117" i="12"/>
  <c r="H116" i="12"/>
  <c r="G64" i="12"/>
  <c r="H63" i="12"/>
  <c r="G11" i="12"/>
  <c r="H10" i="12"/>
  <c r="H169" i="9"/>
  <c r="G170" i="9"/>
  <c r="H170" i="9" s="1"/>
  <c r="H173" i="9"/>
  <c r="G174" i="9"/>
  <c r="H117" i="9"/>
  <c r="G118" i="9"/>
  <c r="G64" i="9"/>
  <c r="H63" i="9"/>
  <c r="H11" i="9"/>
  <c r="G12" i="9"/>
  <c r="H169" i="7"/>
  <c r="G170" i="7"/>
  <c r="G118" i="7"/>
  <c r="H117" i="7"/>
  <c r="G64" i="7"/>
  <c r="H63" i="7"/>
  <c r="G11" i="7"/>
  <c r="H10" i="7"/>
  <c r="G170" i="10"/>
  <c r="H169" i="10"/>
  <c r="H117" i="10"/>
  <c r="G118" i="10"/>
  <c r="G64" i="10"/>
  <c r="H63" i="10"/>
  <c r="G11" i="10"/>
  <c r="H10" i="10"/>
  <c r="G170" i="5"/>
  <c r="H169" i="5"/>
  <c r="H116" i="5"/>
  <c r="G117" i="5"/>
  <c r="G64" i="5"/>
  <c r="H63" i="5"/>
  <c r="G11" i="5"/>
  <c r="H10" i="5"/>
  <c r="H169" i="11"/>
  <c r="G170" i="11"/>
  <c r="G117" i="11"/>
  <c r="H116" i="11"/>
  <c r="G64" i="11"/>
  <c r="H63" i="11"/>
  <c r="G11" i="11"/>
  <c r="H10" i="11"/>
  <c r="H170" i="4"/>
  <c r="G171" i="4"/>
  <c r="G117" i="4"/>
  <c r="H116" i="4"/>
  <c r="G65" i="4"/>
  <c r="H64" i="4"/>
  <c r="H11" i="4"/>
  <c r="G12" i="4"/>
  <c r="G170" i="1"/>
  <c r="K169" i="1"/>
  <c r="H169" i="1"/>
  <c r="H63" i="1"/>
  <c r="G64" i="1"/>
  <c r="K63" i="1"/>
  <c r="K10" i="1"/>
  <c r="H10" i="1"/>
  <c r="G11" i="1"/>
  <c r="H118" i="1" l="1"/>
  <c r="K118" i="1"/>
  <c r="G119" i="1"/>
  <c r="H170" i="12"/>
  <c r="G171" i="12"/>
  <c r="H117" i="12"/>
  <c r="G118" i="12"/>
  <c r="H64" i="12"/>
  <c r="G65" i="12"/>
  <c r="H11" i="12"/>
  <c r="G12" i="12"/>
  <c r="H174" i="9"/>
  <c r="G175" i="9"/>
  <c r="G119" i="9"/>
  <c r="H118" i="9"/>
  <c r="H64" i="9"/>
  <c r="G65" i="9"/>
  <c r="G13" i="9"/>
  <c r="H12" i="9"/>
  <c r="G171" i="7"/>
  <c r="H170" i="7"/>
  <c r="G119" i="7"/>
  <c r="H118" i="7"/>
  <c r="H64" i="7"/>
  <c r="G65" i="7"/>
  <c r="G12" i="7"/>
  <c r="H11" i="7"/>
  <c r="H170" i="10"/>
  <c r="G171" i="10"/>
  <c r="G119" i="10"/>
  <c r="H118" i="10"/>
  <c r="H64" i="10"/>
  <c r="G65" i="10"/>
  <c r="H11" i="10"/>
  <c r="G12" i="10"/>
  <c r="H170" i="5"/>
  <c r="G171" i="5"/>
  <c r="H117" i="5"/>
  <c r="G118" i="5"/>
  <c r="H64" i="5"/>
  <c r="G65" i="5"/>
  <c r="H11" i="5"/>
  <c r="G12" i="5"/>
  <c r="H170" i="11"/>
  <c r="G171" i="11"/>
  <c r="H117" i="11"/>
  <c r="G118" i="11"/>
  <c r="H64" i="11"/>
  <c r="G65" i="11"/>
  <c r="H11" i="11"/>
  <c r="G12" i="11"/>
  <c r="G172" i="4"/>
  <c r="H171" i="4"/>
  <c r="H117" i="4"/>
  <c r="G118" i="4"/>
  <c r="G66" i="4"/>
  <c r="H65" i="4"/>
  <c r="G13" i="4"/>
  <c r="H12" i="4"/>
  <c r="K170" i="1"/>
  <c r="H170" i="1"/>
  <c r="G171" i="1"/>
  <c r="G65" i="1"/>
  <c r="K64" i="1"/>
  <c r="H64" i="1"/>
  <c r="K11" i="1"/>
  <c r="H11" i="1"/>
  <c r="G12" i="1"/>
  <c r="H119" i="1" l="1"/>
  <c r="K119" i="1"/>
  <c r="G120" i="1"/>
  <c r="G172" i="12"/>
  <c r="H171" i="12"/>
  <c r="H118" i="12"/>
  <c r="G119" i="12"/>
  <c r="H65" i="12"/>
  <c r="G66" i="12"/>
  <c r="G13" i="12"/>
  <c r="H12" i="12"/>
  <c r="G176" i="9"/>
  <c r="H175" i="9"/>
  <c r="G120" i="9"/>
  <c r="H119" i="9"/>
  <c r="G66" i="9"/>
  <c r="H65" i="9"/>
  <c r="H13" i="9"/>
  <c r="G14" i="9"/>
  <c r="G172" i="7"/>
  <c r="H171" i="7"/>
  <c r="H119" i="7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G120" i="7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66" i="7"/>
  <c r="H65" i="7"/>
  <c r="G13" i="7"/>
  <c r="H12" i="7"/>
  <c r="G172" i="10"/>
  <c r="H171" i="10"/>
  <c r="G120" i="10"/>
  <c r="H119" i="10"/>
  <c r="G66" i="10"/>
  <c r="H65" i="10"/>
  <c r="H12" i="10"/>
  <c r="G13" i="10"/>
  <c r="G172" i="5"/>
  <c r="H171" i="5"/>
  <c r="G119" i="5"/>
  <c r="H118" i="5"/>
  <c r="H65" i="5"/>
  <c r="G66" i="5"/>
  <c r="G13" i="5"/>
  <c r="H12" i="5"/>
  <c r="G172" i="11"/>
  <c r="H171" i="11"/>
  <c r="G119" i="11"/>
  <c r="H118" i="11"/>
  <c r="G66" i="11"/>
  <c r="H65" i="11"/>
  <c r="H12" i="11"/>
  <c r="G13" i="11"/>
  <c r="G173" i="4"/>
  <c r="H172" i="4"/>
  <c r="G119" i="4"/>
  <c r="H118" i="4"/>
  <c r="G67" i="4"/>
  <c r="H66" i="4"/>
  <c r="H13" i="4"/>
  <c r="G14" i="4"/>
  <c r="G172" i="1"/>
  <c r="K171" i="1"/>
  <c r="H171" i="1"/>
  <c r="H65" i="1"/>
  <c r="G66" i="1"/>
  <c r="K65" i="1"/>
  <c r="G13" i="1"/>
  <c r="K12" i="1"/>
  <c r="H12" i="1"/>
  <c r="H120" i="1" l="1"/>
  <c r="G121" i="1"/>
  <c r="K120" i="1"/>
  <c r="G173" i="12"/>
  <c r="H172" i="12"/>
  <c r="G120" i="12"/>
  <c r="H119" i="12"/>
  <c r="G67" i="12"/>
  <c r="H66" i="12"/>
  <c r="G14" i="12"/>
  <c r="H13" i="12"/>
  <c r="H176" i="9"/>
  <c r="G177" i="9"/>
  <c r="H120" i="9"/>
  <c r="G121" i="9"/>
  <c r="H66" i="9"/>
  <c r="G67" i="9"/>
  <c r="H14" i="9"/>
  <c r="G15" i="9"/>
  <c r="H172" i="7"/>
  <c r="G173" i="7"/>
  <c r="G136" i="7"/>
  <c r="H135" i="7"/>
  <c r="G67" i="7"/>
  <c r="H66" i="7"/>
  <c r="G14" i="7"/>
  <c r="H13" i="7"/>
  <c r="H172" i="10"/>
  <c r="G173" i="10"/>
  <c r="G121" i="10"/>
  <c r="H120" i="10"/>
  <c r="G67" i="10"/>
  <c r="H66" i="10"/>
  <c r="G14" i="10"/>
  <c r="H13" i="10"/>
  <c r="G173" i="5"/>
  <c r="H172" i="5"/>
  <c r="G120" i="5"/>
  <c r="H119" i="5"/>
  <c r="G67" i="5"/>
  <c r="H66" i="5"/>
  <c r="G14" i="5"/>
  <c r="H13" i="5"/>
  <c r="G173" i="11"/>
  <c r="H172" i="11"/>
  <c r="G120" i="11"/>
  <c r="H119" i="11"/>
  <c r="G67" i="11"/>
  <c r="H66" i="11"/>
  <c r="G14" i="11"/>
  <c r="H13" i="11"/>
  <c r="G174" i="4"/>
  <c r="H173" i="4"/>
  <c r="G120" i="4"/>
  <c r="H119" i="4"/>
  <c r="G68" i="4"/>
  <c r="H67" i="4"/>
  <c r="G15" i="4"/>
  <c r="H14" i="4"/>
  <c r="K172" i="1"/>
  <c r="H172" i="1"/>
  <c r="G173" i="1"/>
  <c r="G67" i="1"/>
  <c r="K66" i="1"/>
  <c r="H66" i="1"/>
  <c r="G14" i="1"/>
  <c r="K13" i="1"/>
  <c r="H13" i="1"/>
  <c r="G122" i="1" l="1"/>
  <c r="H121" i="1"/>
  <c r="K121" i="1"/>
  <c r="H173" i="12"/>
  <c r="G174" i="12"/>
  <c r="H120" i="12"/>
  <c r="G121" i="12"/>
  <c r="H67" i="12"/>
  <c r="G68" i="12"/>
  <c r="H14" i="12"/>
  <c r="G15" i="12"/>
  <c r="H177" i="9"/>
  <c r="G178" i="9"/>
  <c r="G122" i="9"/>
  <c r="H121" i="9"/>
  <c r="G68" i="9"/>
  <c r="H67" i="9"/>
  <c r="G16" i="9"/>
  <c r="H15" i="9"/>
  <c r="H173" i="7"/>
  <c r="G174" i="7"/>
  <c r="H136" i="7"/>
  <c r="G137" i="7"/>
  <c r="G68" i="7"/>
  <c r="H67" i="7"/>
  <c r="G15" i="7"/>
  <c r="H14" i="7"/>
  <c r="H173" i="10"/>
  <c r="G174" i="10"/>
  <c r="H121" i="10"/>
  <c r="G122" i="10"/>
  <c r="G68" i="10"/>
  <c r="H67" i="10"/>
  <c r="H14" i="10"/>
  <c r="G15" i="10"/>
  <c r="H173" i="5"/>
  <c r="G174" i="5"/>
  <c r="H120" i="5"/>
  <c r="G121" i="5"/>
  <c r="H67" i="5"/>
  <c r="G68" i="5"/>
  <c r="H14" i="5"/>
  <c r="G15" i="5"/>
  <c r="H173" i="11"/>
  <c r="G174" i="11"/>
  <c r="H120" i="11"/>
  <c r="G121" i="11"/>
  <c r="H67" i="11"/>
  <c r="G68" i="11"/>
  <c r="H14" i="11"/>
  <c r="G15" i="11"/>
  <c r="G175" i="4"/>
  <c r="H174" i="4"/>
  <c r="G121" i="4"/>
  <c r="H120" i="4"/>
  <c r="H68" i="4"/>
  <c r="G69" i="4"/>
  <c r="H15" i="4"/>
  <c r="G16" i="4"/>
  <c r="G174" i="1"/>
  <c r="K173" i="1"/>
  <c r="H173" i="1"/>
  <c r="K67" i="1"/>
  <c r="H67" i="1"/>
  <c r="G68" i="1"/>
  <c r="K14" i="1"/>
  <c r="H14" i="1"/>
  <c r="G15" i="1"/>
  <c r="G123" i="1" l="1"/>
  <c r="H122" i="1"/>
  <c r="K122" i="1"/>
  <c r="G175" i="12"/>
  <c r="H174" i="12"/>
  <c r="G122" i="12"/>
  <c r="H121" i="12"/>
  <c r="H68" i="12"/>
  <c r="G69" i="12"/>
  <c r="G16" i="12"/>
  <c r="H15" i="12"/>
  <c r="H178" i="9"/>
  <c r="G179" i="9"/>
  <c r="G123" i="9"/>
  <c r="H122" i="9"/>
  <c r="H68" i="9"/>
  <c r="G69" i="9"/>
  <c r="G17" i="9"/>
  <c r="H16" i="9"/>
  <c r="G175" i="7"/>
  <c r="H174" i="7"/>
  <c r="G138" i="7"/>
  <c r="H137" i="7"/>
  <c r="G69" i="7"/>
  <c r="H68" i="7"/>
  <c r="H15" i="7"/>
  <c r="G16" i="7"/>
  <c r="G175" i="10"/>
  <c r="H174" i="10"/>
  <c r="G123" i="10"/>
  <c r="H122" i="10"/>
  <c r="H68" i="10"/>
  <c r="G69" i="10"/>
  <c r="H15" i="10"/>
  <c r="G16" i="10"/>
  <c r="H174" i="5"/>
  <c r="G175" i="5"/>
  <c r="H121" i="5"/>
  <c r="G122" i="5"/>
  <c r="G69" i="5"/>
  <c r="H68" i="5"/>
  <c r="H15" i="5"/>
  <c r="G16" i="5"/>
  <c r="G175" i="11"/>
  <c r="H174" i="11"/>
  <c r="H121" i="11"/>
  <c r="G122" i="11"/>
  <c r="G69" i="11"/>
  <c r="H68" i="11"/>
  <c r="H15" i="11"/>
  <c r="G16" i="11"/>
  <c r="G176" i="4"/>
  <c r="H175" i="4"/>
  <c r="H121" i="4"/>
  <c r="G122" i="4"/>
  <c r="G70" i="4"/>
  <c r="H69" i="4"/>
  <c r="G17" i="4"/>
  <c r="H16" i="4"/>
  <c r="G175" i="1"/>
  <c r="K174" i="1"/>
  <c r="H174" i="1"/>
  <c r="K68" i="1"/>
  <c r="H68" i="1"/>
  <c r="G69" i="1"/>
  <c r="G16" i="1"/>
  <c r="K15" i="1"/>
  <c r="H15" i="1"/>
  <c r="H123" i="1" l="1"/>
  <c r="K123" i="1"/>
  <c r="G124" i="1"/>
  <c r="H175" i="12"/>
  <c r="G176" i="12"/>
  <c r="G123" i="12"/>
  <c r="H122" i="12"/>
  <c r="G70" i="12"/>
  <c r="H69" i="12"/>
  <c r="G17" i="12"/>
  <c r="H16" i="12"/>
  <c r="G180" i="9"/>
  <c r="H179" i="9"/>
  <c r="H123" i="9"/>
  <c r="G124" i="9"/>
  <c r="G70" i="9"/>
  <c r="H69" i="9"/>
  <c r="H17" i="9"/>
  <c r="G18" i="9"/>
  <c r="H175" i="7"/>
  <c r="G176" i="7"/>
  <c r="G139" i="7"/>
  <c r="H139" i="7" s="1"/>
  <c r="H138" i="7"/>
  <c r="G70" i="7"/>
  <c r="H69" i="7"/>
  <c r="G17" i="7"/>
  <c r="H16" i="7"/>
  <c r="H175" i="10"/>
  <c r="G176" i="10"/>
  <c r="G124" i="10"/>
  <c r="H123" i="10"/>
  <c r="H69" i="10"/>
  <c r="G70" i="10"/>
  <c r="G17" i="10"/>
  <c r="H16" i="10"/>
  <c r="G176" i="5"/>
  <c r="H175" i="5"/>
  <c r="G123" i="5"/>
  <c r="H122" i="5"/>
  <c r="G70" i="5"/>
  <c r="H69" i="5"/>
  <c r="H16" i="5"/>
  <c r="G17" i="5"/>
  <c r="G176" i="11"/>
  <c r="H175" i="11"/>
  <c r="H122" i="11"/>
  <c r="G123" i="11"/>
  <c r="H69" i="11"/>
  <c r="G70" i="11"/>
  <c r="G17" i="11"/>
  <c r="H16" i="11"/>
  <c r="G177" i="4"/>
  <c r="H176" i="4"/>
  <c r="G123" i="4"/>
  <c r="H122" i="4"/>
  <c r="G71" i="4"/>
  <c r="H70" i="4"/>
  <c r="G18" i="4"/>
  <c r="H17" i="4"/>
  <c r="H175" i="1"/>
  <c r="K175" i="1"/>
  <c r="G176" i="1"/>
  <c r="G70" i="1"/>
  <c r="K69" i="1"/>
  <c r="H69" i="1"/>
  <c r="G17" i="1"/>
  <c r="K16" i="1"/>
  <c r="H16" i="1"/>
  <c r="K124" i="1" l="1"/>
  <c r="G125" i="1"/>
  <c r="H124" i="1"/>
  <c r="G177" i="12"/>
  <c r="H176" i="12"/>
  <c r="H123" i="12"/>
  <c r="G124" i="12"/>
  <c r="H70" i="12"/>
  <c r="G71" i="12"/>
  <c r="H17" i="12"/>
  <c r="G18" i="12"/>
  <c r="G181" i="9"/>
  <c r="H180" i="9"/>
  <c r="G125" i="9"/>
  <c r="H124" i="9"/>
  <c r="H70" i="9"/>
  <c r="G71" i="9"/>
  <c r="G19" i="9"/>
  <c r="H18" i="9"/>
  <c r="H176" i="7"/>
  <c r="G177" i="7"/>
  <c r="H70" i="7"/>
  <c r="G71" i="7"/>
  <c r="H17" i="7"/>
  <c r="G18" i="7"/>
  <c r="H176" i="10"/>
  <c r="G177" i="10"/>
  <c r="G125" i="10"/>
  <c r="H124" i="10"/>
  <c r="H70" i="10"/>
  <c r="G71" i="10"/>
  <c r="H17" i="10"/>
  <c r="G18" i="10"/>
  <c r="H176" i="5"/>
  <c r="G177" i="5"/>
  <c r="G124" i="5"/>
  <c r="H123" i="5"/>
  <c r="H70" i="5"/>
  <c r="G71" i="5"/>
  <c r="H17" i="5"/>
  <c r="G18" i="5"/>
  <c r="H176" i="11"/>
  <c r="G177" i="11"/>
  <c r="H123" i="11"/>
  <c r="G124" i="11"/>
  <c r="H70" i="11"/>
  <c r="G71" i="11"/>
  <c r="G18" i="11"/>
  <c r="H17" i="11"/>
  <c r="G178" i="4"/>
  <c r="H177" i="4"/>
  <c r="G124" i="4"/>
  <c r="H123" i="4"/>
  <c r="H71" i="4"/>
  <c r="G72" i="4"/>
  <c r="H18" i="4"/>
  <c r="G19" i="4"/>
  <c r="G177" i="1"/>
  <c r="K176" i="1"/>
  <c r="H176" i="1"/>
  <c r="H70" i="1"/>
  <c r="K70" i="1"/>
  <c r="G71" i="1"/>
  <c r="K17" i="1"/>
  <c r="G18" i="1"/>
  <c r="H17" i="1"/>
  <c r="K125" i="1" l="1"/>
  <c r="H125" i="1"/>
  <c r="G126" i="1"/>
  <c r="H177" i="12"/>
  <c r="G178" i="12"/>
  <c r="H124" i="12"/>
  <c r="G125" i="12"/>
  <c r="H71" i="12"/>
  <c r="G72" i="12"/>
  <c r="G19" i="12"/>
  <c r="H18" i="12"/>
  <c r="G182" i="9"/>
  <c r="H181" i="9"/>
  <c r="G126" i="9"/>
  <c r="H125" i="9"/>
  <c r="G72" i="9"/>
  <c r="H71" i="9"/>
  <c r="G20" i="9"/>
  <c r="H19" i="9"/>
  <c r="G178" i="7"/>
  <c r="H177" i="7"/>
  <c r="G72" i="7"/>
  <c r="H71" i="7"/>
  <c r="H18" i="7"/>
  <c r="G19" i="7"/>
  <c r="G178" i="10"/>
  <c r="H177" i="10"/>
  <c r="H125" i="10"/>
  <c r="G126" i="10"/>
  <c r="H71" i="10"/>
  <c r="G72" i="10"/>
  <c r="H18" i="10"/>
  <c r="G19" i="10"/>
  <c r="H177" i="5"/>
  <c r="G178" i="5"/>
  <c r="H124" i="5"/>
  <c r="G125" i="5"/>
  <c r="H71" i="5"/>
  <c r="G72" i="5"/>
  <c r="H18" i="5"/>
  <c r="G19" i="5"/>
  <c r="G178" i="11"/>
  <c r="H177" i="11"/>
  <c r="H124" i="11"/>
  <c r="G125" i="11"/>
  <c r="H71" i="11"/>
  <c r="G72" i="11"/>
  <c r="H18" i="11"/>
  <c r="G19" i="11"/>
  <c r="G179" i="4"/>
  <c r="H178" i="4"/>
  <c r="G125" i="4"/>
  <c r="H124" i="4"/>
  <c r="G73" i="4"/>
  <c r="H72" i="4"/>
  <c r="G20" i="4"/>
  <c r="H19" i="4"/>
  <c r="G178" i="1"/>
  <c r="K177" i="1"/>
  <c r="H177" i="1"/>
  <c r="G72" i="1"/>
  <c r="K71" i="1"/>
  <c r="H71" i="1"/>
  <c r="G19" i="1"/>
  <c r="K18" i="1"/>
  <c r="H18" i="1"/>
  <c r="G127" i="1" l="1"/>
  <c r="H126" i="1"/>
  <c r="K126" i="1"/>
  <c r="G179" i="12"/>
  <c r="H178" i="12"/>
  <c r="G126" i="12"/>
  <c r="H125" i="12"/>
  <c r="G73" i="12"/>
  <c r="H72" i="12"/>
  <c r="G20" i="12"/>
  <c r="H19" i="12"/>
  <c r="H182" i="9"/>
  <c r="G183" i="9"/>
  <c r="G127" i="9"/>
  <c r="H126" i="9"/>
  <c r="G73" i="9"/>
  <c r="H72" i="9"/>
  <c r="G21" i="9"/>
  <c r="H20" i="9"/>
  <c r="G179" i="7"/>
  <c r="H178" i="7"/>
  <c r="G73" i="7"/>
  <c r="H72" i="7"/>
  <c r="G20" i="7"/>
  <c r="H19" i="7"/>
  <c r="G179" i="10"/>
  <c r="H178" i="10"/>
  <c r="G127" i="10"/>
  <c r="H126" i="10"/>
  <c r="G73" i="10"/>
  <c r="H72" i="10"/>
  <c r="G20" i="10"/>
  <c r="H19" i="10"/>
  <c r="G179" i="5"/>
  <c r="H178" i="5"/>
  <c r="G126" i="5"/>
  <c r="H125" i="5"/>
  <c r="G73" i="5"/>
  <c r="H72" i="5"/>
  <c r="G20" i="5"/>
  <c r="H19" i="5"/>
  <c r="G179" i="11"/>
  <c r="H178" i="11"/>
  <c r="G126" i="11"/>
  <c r="H125" i="11"/>
  <c r="G73" i="11"/>
  <c r="H72" i="11"/>
  <c r="G20" i="11"/>
  <c r="H19" i="11"/>
  <c r="H179" i="4"/>
  <c r="G180" i="4"/>
  <c r="G126" i="4"/>
  <c r="H125" i="4"/>
  <c r="G74" i="4"/>
  <c r="H73" i="4"/>
  <c r="G21" i="4"/>
  <c r="H20" i="4"/>
  <c r="H178" i="1"/>
  <c r="G179" i="1"/>
  <c r="K178" i="1"/>
  <c r="G73" i="1"/>
  <c r="K72" i="1"/>
  <c r="H72" i="1"/>
  <c r="G20" i="1"/>
  <c r="K19" i="1"/>
  <c r="H19" i="1"/>
  <c r="H127" i="1" l="1"/>
  <c r="K127" i="1"/>
  <c r="G128" i="1"/>
  <c r="G180" i="12"/>
  <c r="H179" i="12"/>
  <c r="G127" i="12"/>
  <c r="H126" i="12"/>
  <c r="G74" i="12"/>
  <c r="H73" i="12"/>
  <c r="G21" i="12"/>
  <c r="H20" i="12"/>
  <c r="G184" i="9"/>
  <c r="H183" i="9"/>
  <c r="H127" i="9"/>
  <c r="G128" i="9"/>
  <c r="G74" i="9"/>
  <c r="H73" i="9"/>
  <c r="G22" i="9"/>
  <c r="H21" i="9"/>
  <c r="G180" i="7"/>
  <c r="H179" i="7"/>
  <c r="G74" i="7"/>
  <c r="H73" i="7"/>
  <c r="G21" i="7"/>
  <c r="H20" i="7"/>
  <c r="G180" i="10"/>
  <c r="H179" i="10"/>
  <c r="H127" i="10"/>
  <c r="G128" i="10"/>
  <c r="G74" i="10"/>
  <c r="H73" i="10"/>
  <c r="G21" i="10"/>
  <c r="H20" i="10"/>
  <c r="G180" i="5"/>
  <c r="H179" i="5"/>
  <c r="G127" i="5"/>
  <c r="H126" i="5"/>
  <c r="G74" i="5"/>
  <c r="H73" i="5"/>
  <c r="G21" i="5"/>
  <c r="H20" i="5"/>
  <c r="G180" i="11"/>
  <c r="H179" i="11"/>
  <c r="G127" i="11"/>
  <c r="H126" i="11"/>
  <c r="G74" i="11"/>
  <c r="H73" i="11"/>
  <c r="H20" i="11"/>
  <c r="G21" i="11"/>
  <c r="H180" i="4"/>
  <c r="G181" i="4"/>
  <c r="G127" i="4"/>
  <c r="H126" i="4"/>
  <c r="H74" i="4"/>
  <c r="G75" i="4"/>
  <c r="H21" i="4"/>
  <c r="G22" i="4"/>
  <c r="G180" i="1"/>
  <c r="K179" i="1"/>
  <c r="H179" i="1"/>
  <c r="G74" i="1"/>
  <c r="K73" i="1"/>
  <c r="H73" i="1"/>
  <c r="H20" i="1"/>
  <c r="G21" i="1"/>
  <c r="K20" i="1"/>
  <c r="H128" i="1" l="1"/>
  <c r="K128" i="1"/>
  <c r="G129" i="1"/>
  <c r="H180" i="12"/>
  <c r="G181" i="12"/>
  <c r="G128" i="12"/>
  <c r="H127" i="12"/>
  <c r="H74" i="12"/>
  <c r="G75" i="12"/>
  <c r="G22" i="12"/>
  <c r="H21" i="12"/>
  <c r="H184" i="9"/>
  <c r="G185" i="9"/>
  <c r="G129" i="9"/>
  <c r="H128" i="9"/>
  <c r="H74" i="9"/>
  <c r="G75" i="9"/>
  <c r="G23" i="9"/>
  <c r="H22" i="9"/>
  <c r="G181" i="7"/>
  <c r="H180" i="7"/>
  <c r="H74" i="7"/>
  <c r="G75" i="7"/>
  <c r="H21" i="7"/>
  <c r="G22" i="7"/>
  <c r="G181" i="10"/>
  <c r="H180" i="10"/>
  <c r="G129" i="10"/>
  <c r="H128" i="10"/>
  <c r="H74" i="10"/>
  <c r="G75" i="10"/>
  <c r="H21" i="10"/>
  <c r="G22" i="10"/>
  <c r="H180" i="5"/>
  <c r="G181" i="5"/>
  <c r="G128" i="5"/>
  <c r="H127" i="5"/>
  <c r="H74" i="5"/>
  <c r="G75" i="5"/>
  <c r="G22" i="5"/>
  <c r="H21" i="5"/>
  <c r="G181" i="11"/>
  <c r="H180" i="11"/>
  <c r="H127" i="11"/>
  <c r="G128" i="11"/>
  <c r="H74" i="11"/>
  <c r="G75" i="11"/>
  <c r="H21" i="11"/>
  <c r="G22" i="11"/>
  <c r="H181" i="4"/>
  <c r="G182" i="4"/>
  <c r="H127" i="4"/>
  <c r="G128" i="4"/>
  <c r="H75" i="4"/>
  <c r="G76" i="4"/>
  <c r="G23" i="4"/>
  <c r="H22" i="4"/>
  <c r="G181" i="1"/>
  <c r="K180" i="1"/>
  <c r="H74" i="1"/>
  <c r="K74" i="1"/>
  <c r="G75" i="1"/>
  <c r="G22" i="1"/>
  <c r="H21" i="1"/>
  <c r="K21" i="1"/>
  <c r="K129" i="1" l="1"/>
  <c r="G130" i="1"/>
  <c r="H129" i="1"/>
  <c r="G182" i="12"/>
  <c r="H181" i="12"/>
  <c r="G129" i="12"/>
  <c r="H128" i="12"/>
  <c r="H75" i="12"/>
  <c r="G76" i="12"/>
  <c r="G23" i="12"/>
  <c r="H22" i="12"/>
  <c r="H185" i="9"/>
  <c r="H186" i="9" s="1"/>
  <c r="G186" i="9"/>
  <c r="G187" i="9" s="1"/>
  <c r="G130" i="9"/>
  <c r="H129" i="9"/>
  <c r="G76" i="9"/>
  <c r="H75" i="9"/>
  <c r="H23" i="9"/>
  <c r="G24" i="9"/>
  <c r="G182" i="7"/>
  <c r="H181" i="7"/>
  <c r="G76" i="7"/>
  <c r="H75" i="7"/>
  <c r="G23" i="7"/>
  <c r="H22" i="7"/>
  <c r="G182" i="10"/>
  <c r="H181" i="10"/>
  <c r="H129" i="10"/>
  <c r="G130" i="10"/>
  <c r="G76" i="10"/>
  <c r="H75" i="10"/>
  <c r="G23" i="10"/>
  <c r="H22" i="10"/>
  <c r="G182" i="5"/>
  <c r="H181" i="5"/>
  <c r="H128" i="5"/>
  <c r="G129" i="5"/>
  <c r="G76" i="5"/>
  <c r="H75" i="5"/>
  <c r="G23" i="5"/>
  <c r="H22" i="5"/>
  <c r="H181" i="11"/>
  <c r="G182" i="11"/>
  <c r="G129" i="11"/>
  <c r="H128" i="11"/>
  <c r="G76" i="11"/>
  <c r="H75" i="11"/>
  <c r="G23" i="11"/>
  <c r="H22" i="11"/>
  <c r="G183" i="4"/>
  <c r="H182" i="4"/>
  <c r="H128" i="4"/>
  <c r="G129" i="4"/>
  <c r="H76" i="4"/>
  <c r="G77" i="4"/>
  <c r="H23" i="4"/>
  <c r="G24" i="4"/>
  <c r="G182" i="1"/>
  <c r="K181" i="1"/>
  <c r="H181" i="1"/>
  <c r="K75" i="1"/>
  <c r="H75" i="1"/>
  <c r="G76" i="1"/>
  <c r="K22" i="1"/>
  <c r="G23" i="1"/>
  <c r="H22" i="1"/>
  <c r="K130" i="1" l="1"/>
  <c r="H130" i="1"/>
  <c r="G131" i="1"/>
  <c r="H182" i="12"/>
  <c r="G183" i="12"/>
  <c r="G130" i="12"/>
  <c r="H129" i="12"/>
  <c r="G77" i="12"/>
  <c r="H76" i="12"/>
  <c r="G24" i="12"/>
  <c r="H23" i="12"/>
  <c r="G188" i="9"/>
  <c r="H187" i="9"/>
  <c r="H130" i="9"/>
  <c r="G131" i="9"/>
  <c r="G77" i="9"/>
  <c r="H76" i="9"/>
  <c r="H24" i="9"/>
  <c r="G25" i="9"/>
  <c r="H182" i="7"/>
  <c r="G183" i="7"/>
  <c r="G77" i="7"/>
  <c r="H76" i="7"/>
  <c r="H23" i="7"/>
  <c r="G24" i="7"/>
  <c r="G183" i="10"/>
  <c r="H182" i="10"/>
  <c r="G131" i="10"/>
  <c r="H130" i="10"/>
  <c r="G77" i="10"/>
  <c r="H76" i="10"/>
  <c r="G24" i="10"/>
  <c r="H23" i="10"/>
  <c r="H182" i="5"/>
  <c r="G183" i="5"/>
  <c r="H129" i="5"/>
  <c r="G130" i="5"/>
  <c r="G77" i="5"/>
  <c r="H76" i="5"/>
  <c r="G24" i="5"/>
  <c r="H23" i="5"/>
  <c r="G183" i="11"/>
  <c r="H182" i="11"/>
  <c r="G130" i="11"/>
  <c r="H129" i="11"/>
  <c r="G77" i="11"/>
  <c r="H76" i="11"/>
  <c r="G24" i="11"/>
  <c r="H23" i="11"/>
  <c r="H183" i="4"/>
  <c r="G184" i="4"/>
  <c r="G130" i="4"/>
  <c r="H129" i="4"/>
  <c r="H77" i="4"/>
  <c r="G78" i="4"/>
  <c r="H24" i="4"/>
  <c r="G25" i="4"/>
  <c r="G183" i="1"/>
  <c r="H182" i="1"/>
  <c r="K182" i="1"/>
  <c r="G77" i="1"/>
  <c r="K76" i="1"/>
  <c r="H76" i="1"/>
  <c r="G24" i="1"/>
  <c r="K23" i="1"/>
  <c r="H23" i="1"/>
  <c r="G132" i="1" l="1"/>
  <c r="H131" i="1"/>
  <c r="K131" i="1"/>
  <c r="H183" i="12"/>
  <c r="G184" i="12"/>
  <c r="H130" i="12"/>
  <c r="G131" i="12"/>
  <c r="H77" i="12"/>
  <c r="G78" i="12"/>
  <c r="H24" i="12"/>
  <c r="G25" i="12"/>
  <c r="G189" i="9"/>
  <c r="H188" i="9"/>
  <c r="G132" i="9"/>
  <c r="H131" i="9"/>
  <c r="G78" i="9"/>
  <c r="H77" i="9"/>
  <c r="G26" i="9"/>
  <c r="H25" i="9"/>
  <c r="G184" i="7"/>
  <c r="H183" i="7"/>
  <c r="H77" i="7"/>
  <c r="G78" i="7"/>
  <c r="H24" i="7"/>
  <c r="G25" i="7"/>
  <c r="H183" i="10"/>
  <c r="G184" i="10"/>
  <c r="G132" i="10"/>
  <c r="H131" i="10"/>
  <c r="H77" i="10"/>
  <c r="G78" i="10"/>
  <c r="H24" i="10"/>
  <c r="G25" i="10"/>
  <c r="H183" i="5"/>
  <c r="G184" i="5"/>
  <c r="G131" i="5"/>
  <c r="H130" i="5"/>
  <c r="H77" i="5"/>
  <c r="G78" i="5"/>
  <c r="H24" i="5"/>
  <c r="G25" i="5"/>
  <c r="H183" i="11"/>
  <c r="G184" i="11"/>
  <c r="H130" i="11"/>
  <c r="G131" i="11"/>
  <c r="H77" i="11"/>
  <c r="G78" i="11"/>
  <c r="H24" i="11"/>
  <c r="G25" i="11"/>
  <c r="G185" i="4"/>
  <c r="H184" i="4"/>
  <c r="G131" i="4"/>
  <c r="H130" i="4"/>
  <c r="H78" i="4"/>
  <c r="G79" i="4"/>
  <c r="G26" i="4"/>
  <c r="H25" i="4"/>
  <c r="H183" i="1"/>
  <c r="K183" i="1"/>
  <c r="G184" i="1"/>
  <c r="G78" i="1"/>
  <c r="H77" i="1"/>
  <c r="K77" i="1"/>
  <c r="G25" i="1"/>
  <c r="K24" i="1"/>
  <c r="H24" i="1"/>
  <c r="H132" i="1" l="1"/>
  <c r="G133" i="1"/>
  <c r="K132" i="1"/>
  <c r="G185" i="12"/>
  <c r="H184" i="12"/>
  <c r="H131" i="12"/>
  <c r="G132" i="12"/>
  <c r="H78" i="12"/>
  <c r="G79" i="12"/>
  <c r="G26" i="12"/>
  <c r="H25" i="12"/>
  <c r="H189" i="9"/>
  <c r="G190" i="9"/>
  <c r="G133" i="9"/>
  <c r="H132" i="9"/>
  <c r="H78" i="9"/>
  <c r="G79" i="9"/>
  <c r="G27" i="9"/>
  <c r="H26" i="9"/>
  <c r="G185" i="7"/>
  <c r="H184" i="7"/>
  <c r="G79" i="7"/>
  <c r="H78" i="7"/>
  <c r="G26" i="7"/>
  <c r="H25" i="7"/>
  <c r="G185" i="10"/>
  <c r="H184" i="10"/>
  <c r="G133" i="10"/>
  <c r="G134" i="10" s="1"/>
  <c r="G135" i="10" s="1"/>
  <c r="G136" i="10" s="1"/>
  <c r="H132" i="10"/>
  <c r="H133" i="10" s="1"/>
  <c r="H134" i="10" s="1"/>
  <c r="H135" i="10" s="1"/>
  <c r="G79" i="10"/>
  <c r="H78" i="10"/>
  <c r="H25" i="10"/>
  <c r="G26" i="10"/>
  <c r="G185" i="5"/>
  <c r="H184" i="5"/>
  <c r="G132" i="5"/>
  <c r="H131" i="5"/>
  <c r="H78" i="5"/>
  <c r="G79" i="5"/>
  <c r="G26" i="5"/>
  <c r="H25" i="5"/>
  <c r="H184" i="11"/>
  <c r="G185" i="11"/>
  <c r="G132" i="11"/>
  <c r="H131" i="11"/>
  <c r="G79" i="11"/>
  <c r="H78" i="11"/>
  <c r="H25" i="11"/>
  <c r="G26" i="11"/>
  <c r="H185" i="4"/>
  <c r="G186" i="4"/>
  <c r="G132" i="4"/>
  <c r="H131" i="4"/>
  <c r="G80" i="4"/>
  <c r="H79" i="4"/>
  <c r="G27" i="4"/>
  <c r="H26" i="4"/>
  <c r="K184" i="1"/>
  <c r="G185" i="1"/>
  <c r="H184" i="1"/>
  <c r="G79" i="1"/>
  <c r="K78" i="1"/>
  <c r="H78" i="1"/>
  <c r="G26" i="1"/>
  <c r="H25" i="1"/>
  <c r="K25" i="1"/>
  <c r="H133" i="1" l="1"/>
  <c r="K133" i="1"/>
  <c r="G134" i="1"/>
  <c r="G186" i="12"/>
  <c r="H185" i="12"/>
  <c r="G133" i="12"/>
  <c r="H132" i="12"/>
  <c r="G80" i="12"/>
  <c r="H79" i="12"/>
  <c r="G27" i="12"/>
  <c r="H26" i="12"/>
  <c r="G191" i="9"/>
  <c r="H190" i="9"/>
  <c r="H133" i="9"/>
  <c r="G134" i="9"/>
  <c r="G80" i="9"/>
  <c r="G81" i="9" s="1"/>
  <c r="H79" i="9"/>
  <c r="H80" i="9" s="1"/>
  <c r="H27" i="9"/>
  <c r="G28" i="9"/>
  <c r="H185" i="7"/>
  <c r="G186" i="7"/>
  <c r="G80" i="7"/>
  <c r="H79" i="7"/>
  <c r="G27" i="7"/>
  <c r="H26" i="7"/>
  <c r="G186" i="10"/>
  <c r="H185" i="10"/>
  <c r="H136" i="10"/>
  <c r="G137" i="10"/>
  <c r="H79" i="10"/>
  <c r="G80" i="10"/>
  <c r="G27" i="10"/>
  <c r="H26" i="10"/>
  <c r="H185" i="5"/>
  <c r="G186" i="5"/>
  <c r="H132" i="5"/>
  <c r="H133" i="5" s="1"/>
  <c r="H134" i="5" s="1"/>
  <c r="H135" i="5" s="1"/>
  <c r="G133" i="5"/>
  <c r="G134" i="5" s="1"/>
  <c r="G135" i="5" s="1"/>
  <c r="G136" i="5" s="1"/>
  <c r="G80" i="5"/>
  <c r="H79" i="5"/>
  <c r="G27" i="5"/>
  <c r="H26" i="5"/>
  <c r="G186" i="11"/>
  <c r="H185" i="11"/>
  <c r="G133" i="11"/>
  <c r="H132" i="11"/>
  <c r="G80" i="11"/>
  <c r="H79" i="11"/>
  <c r="H26" i="11"/>
  <c r="G27" i="11"/>
  <c r="H186" i="4"/>
  <c r="G187" i="4"/>
  <c r="G133" i="4"/>
  <c r="H132" i="4"/>
  <c r="H80" i="4"/>
  <c r="G81" i="4"/>
  <c r="H27" i="4"/>
  <c r="G28" i="4"/>
  <c r="K185" i="1"/>
  <c r="H185" i="1"/>
  <c r="G186" i="1"/>
  <c r="K79" i="1"/>
  <c r="G80" i="1"/>
  <c r="H79" i="1"/>
  <c r="G27" i="1"/>
  <c r="K26" i="1"/>
  <c r="H26" i="1"/>
  <c r="H134" i="1" l="1"/>
  <c r="K134" i="1"/>
  <c r="G135" i="1"/>
  <c r="H186" i="12"/>
  <c r="G187" i="12"/>
  <c r="H133" i="12"/>
  <c r="G134" i="12"/>
  <c r="H80" i="12"/>
  <c r="G81" i="12"/>
  <c r="H27" i="12"/>
  <c r="G28" i="12"/>
  <c r="H191" i="9"/>
  <c r="G192" i="9"/>
  <c r="H192" i="9" s="1"/>
  <c r="G135" i="9"/>
  <c r="H134" i="9"/>
  <c r="G82" i="9"/>
  <c r="H81" i="9"/>
  <c r="G29" i="9"/>
  <c r="H28" i="9"/>
  <c r="G187" i="7"/>
  <c r="H186" i="7"/>
  <c r="H80" i="7"/>
  <c r="G81" i="7"/>
  <c r="G28" i="7"/>
  <c r="H27" i="7"/>
  <c r="H186" i="10"/>
  <c r="G187" i="10"/>
  <c r="G138" i="10"/>
  <c r="H137" i="10"/>
  <c r="H80" i="10"/>
  <c r="G81" i="10"/>
  <c r="H27" i="10"/>
  <c r="G28" i="10"/>
  <c r="H186" i="5"/>
  <c r="G187" i="5"/>
  <c r="H136" i="5"/>
  <c r="G137" i="5"/>
  <c r="H80" i="5"/>
  <c r="G81" i="5"/>
  <c r="H27" i="5"/>
  <c r="G28" i="5"/>
  <c r="H186" i="11"/>
  <c r="G187" i="11"/>
  <c r="H133" i="11"/>
  <c r="G134" i="11"/>
  <c r="H80" i="11"/>
  <c r="G81" i="11"/>
  <c r="H27" i="11"/>
  <c r="G28" i="11"/>
  <c r="G188" i="4"/>
  <c r="H187" i="4"/>
  <c r="H133" i="4"/>
  <c r="G134" i="4"/>
  <c r="G82" i="4"/>
  <c r="H81" i="4"/>
  <c r="G29" i="4"/>
  <c r="H28" i="4"/>
  <c r="G187" i="1"/>
  <c r="K186" i="1"/>
  <c r="H186" i="1"/>
  <c r="H80" i="1"/>
  <c r="G81" i="1"/>
  <c r="K80" i="1"/>
  <c r="K27" i="1"/>
  <c r="H27" i="1"/>
  <c r="G28" i="1"/>
  <c r="K135" i="1" l="1"/>
  <c r="H135" i="1"/>
  <c r="G136" i="1"/>
  <c r="G143" i="1"/>
  <c r="G144" i="1" s="1"/>
  <c r="G145" i="1" s="1"/>
  <c r="G146" i="1" s="1"/>
  <c r="G147" i="1" s="1"/>
  <c r="G148" i="1" s="1"/>
  <c r="G149" i="1" s="1"/>
  <c r="G150" i="1" s="1"/>
  <c r="G151" i="1" s="1"/>
  <c r="G188" i="12"/>
  <c r="H187" i="12"/>
  <c r="G135" i="12"/>
  <c r="H134" i="12"/>
  <c r="G82" i="12"/>
  <c r="H81" i="12"/>
  <c r="G29" i="12"/>
  <c r="H28" i="12"/>
  <c r="G136" i="9"/>
  <c r="H135" i="9"/>
  <c r="G83" i="9"/>
  <c r="H82" i="9"/>
  <c r="H29" i="9"/>
  <c r="G30" i="9"/>
  <c r="G188" i="7"/>
  <c r="H187" i="7"/>
  <c r="G82" i="7"/>
  <c r="H81" i="7"/>
  <c r="G29" i="7"/>
  <c r="H28" i="7"/>
  <c r="G188" i="10"/>
  <c r="H187" i="10"/>
  <c r="H138" i="10"/>
  <c r="G139" i="10"/>
  <c r="H139" i="10" s="1"/>
  <c r="G82" i="10"/>
  <c r="H81" i="10"/>
  <c r="G29" i="10"/>
  <c r="H28" i="10"/>
  <c r="G188" i="5"/>
  <c r="H187" i="5"/>
  <c r="G138" i="5"/>
  <c r="H137" i="5"/>
  <c r="G82" i="5"/>
  <c r="H81" i="5"/>
  <c r="G29" i="5"/>
  <c r="H28" i="5"/>
  <c r="G188" i="11"/>
  <c r="H187" i="11"/>
  <c r="G135" i="11"/>
  <c r="H134" i="11"/>
  <c r="G82" i="11"/>
  <c r="H81" i="11"/>
  <c r="G29" i="11"/>
  <c r="H28" i="11"/>
  <c r="G189" i="4"/>
  <c r="H188" i="4"/>
  <c r="G135" i="4"/>
  <c r="H134" i="4"/>
  <c r="G83" i="4"/>
  <c r="H82" i="4"/>
  <c r="H29" i="4"/>
  <c r="G30" i="4"/>
  <c r="G188" i="1"/>
  <c r="K187" i="1"/>
  <c r="H187" i="1"/>
  <c r="K81" i="1"/>
  <c r="G82" i="1"/>
  <c r="H81" i="1"/>
  <c r="K28" i="1"/>
  <c r="H28" i="1"/>
  <c r="G29" i="1"/>
  <c r="K136" i="1" l="1"/>
  <c r="G137" i="1"/>
  <c r="H136" i="1"/>
  <c r="G189" i="12"/>
  <c r="H188" i="12"/>
  <c r="G136" i="12"/>
  <c r="H135" i="12"/>
  <c r="G83" i="12"/>
  <c r="H82" i="12"/>
  <c r="G30" i="12"/>
  <c r="H29" i="12"/>
  <c r="H136" i="9"/>
  <c r="G137" i="9"/>
  <c r="H83" i="9"/>
  <c r="G84" i="9"/>
  <c r="H30" i="9"/>
  <c r="G31" i="9"/>
  <c r="H188" i="7"/>
  <c r="G189" i="7"/>
  <c r="G83" i="7"/>
  <c r="H82" i="7"/>
  <c r="H29" i="7"/>
  <c r="G30" i="7"/>
  <c r="H188" i="10"/>
  <c r="G189" i="10"/>
  <c r="H82" i="10"/>
  <c r="G83" i="10"/>
  <c r="G30" i="10"/>
  <c r="H29" i="10"/>
  <c r="G189" i="5"/>
  <c r="H188" i="5"/>
  <c r="G139" i="5"/>
  <c r="H139" i="5" s="1"/>
  <c r="H138" i="5"/>
  <c r="G83" i="5"/>
  <c r="H82" i="5"/>
  <c r="G30" i="5"/>
  <c r="H29" i="5"/>
  <c r="H188" i="11"/>
  <c r="G189" i="11"/>
  <c r="G136" i="11"/>
  <c r="H135" i="11"/>
  <c r="G83" i="11"/>
  <c r="H82" i="11"/>
  <c r="H29" i="11"/>
  <c r="G30" i="11"/>
  <c r="H189" i="4"/>
  <c r="G190" i="4"/>
  <c r="G136" i="4"/>
  <c r="H135" i="4"/>
  <c r="H83" i="4"/>
  <c r="G84" i="4"/>
  <c r="H30" i="4"/>
  <c r="G31" i="4"/>
  <c r="G189" i="1"/>
  <c r="H188" i="1"/>
  <c r="K188" i="1"/>
  <c r="K82" i="1"/>
  <c r="H82" i="1"/>
  <c r="G83" i="1"/>
  <c r="K29" i="1"/>
  <c r="G30" i="1"/>
  <c r="H29" i="1"/>
  <c r="H137" i="1" l="1"/>
  <c r="K137" i="1"/>
  <c r="G138" i="1"/>
  <c r="H189" i="12"/>
  <c r="G190" i="12"/>
  <c r="H136" i="12"/>
  <c r="G137" i="12"/>
  <c r="H83" i="12"/>
  <c r="G84" i="12"/>
  <c r="H30" i="12"/>
  <c r="G31" i="12"/>
  <c r="G138" i="9"/>
  <c r="H137" i="9"/>
  <c r="G85" i="9"/>
  <c r="H84" i="9"/>
  <c r="G32" i="9"/>
  <c r="H31" i="9"/>
  <c r="G190" i="7"/>
  <c r="H189" i="7"/>
  <c r="H83" i="7"/>
  <c r="G84" i="7"/>
  <c r="H30" i="7"/>
  <c r="G31" i="7"/>
  <c r="H189" i="10"/>
  <c r="G190" i="10"/>
  <c r="H83" i="10"/>
  <c r="G84" i="10"/>
  <c r="H30" i="10"/>
  <c r="G31" i="10"/>
  <c r="H189" i="5"/>
  <c r="G190" i="5"/>
  <c r="H83" i="5"/>
  <c r="G84" i="5"/>
  <c r="H30" i="5"/>
  <c r="G31" i="5"/>
  <c r="H189" i="11"/>
  <c r="G190" i="11"/>
  <c r="H136" i="11"/>
  <c r="G137" i="11"/>
  <c r="H83" i="11"/>
  <c r="G84" i="11"/>
  <c r="G31" i="11"/>
  <c r="H30" i="11"/>
  <c r="G191" i="4"/>
  <c r="H190" i="4"/>
  <c r="H136" i="4"/>
  <c r="G137" i="4"/>
  <c r="G85" i="4"/>
  <c r="H84" i="4"/>
  <c r="H31" i="4"/>
  <c r="G32" i="4"/>
  <c r="G190" i="1"/>
  <c r="H189" i="1"/>
  <c r="K189" i="1"/>
  <c r="G84" i="1"/>
  <c r="K83" i="1"/>
  <c r="H83" i="1"/>
  <c r="K30" i="1"/>
  <c r="G31" i="1"/>
  <c r="H30" i="1"/>
  <c r="K138" i="1" l="1"/>
  <c r="G139" i="1"/>
  <c r="H138" i="1"/>
  <c r="G191" i="12"/>
  <c r="H190" i="12"/>
  <c r="H137" i="12"/>
  <c r="G138" i="12"/>
  <c r="G85" i="12"/>
  <c r="H84" i="12"/>
  <c r="G32" i="12"/>
  <c r="H31" i="12"/>
  <c r="G139" i="9"/>
  <c r="H139" i="9" s="1"/>
  <c r="H138" i="9"/>
  <c r="G86" i="9"/>
  <c r="H86" i="9" s="1"/>
  <c r="H85" i="9"/>
  <c r="G33" i="9"/>
  <c r="H33" i="9" s="1"/>
  <c r="H32" i="9"/>
  <c r="G191" i="7"/>
  <c r="H191" i="7" s="1"/>
  <c r="H190" i="7"/>
  <c r="G85" i="7"/>
  <c r="H84" i="7"/>
  <c r="G32" i="7"/>
  <c r="H31" i="7"/>
  <c r="G191" i="10"/>
  <c r="H190" i="10"/>
  <c r="G85" i="10"/>
  <c r="H84" i="10"/>
  <c r="H31" i="10"/>
  <c r="G32" i="10"/>
  <c r="G191" i="5"/>
  <c r="H190" i="5"/>
  <c r="G85" i="5"/>
  <c r="H84" i="5"/>
  <c r="G32" i="5"/>
  <c r="H31" i="5"/>
  <c r="G191" i="11"/>
  <c r="H190" i="11"/>
  <c r="G138" i="11"/>
  <c r="H137" i="11"/>
  <c r="G85" i="11"/>
  <c r="H84" i="11"/>
  <c r="G32" i="11"/>
  <c r="H31" i="11"/>
  <c r="H191" i="4"/>
  <c r="G192" i="4"/>
  <c r="H192" i="4" s="1"/>
  <c r="G138" i="4"/>
  <c r="H137" i="4"/>
  <c r="G86" i="4"/>
  <c r="H86" i="4" s="1"/>
  <c r="H85" i="4"/>
  <c r="G33" i="4"/>
  <c r="H33" i="4" s="1"/>
  <c r="H32" i="4"/>
  <c r="H190" i="1"/>
  <c r="K190" i="1"/>
  <c r="G191" i="1"/>
  <c r="K84" i="1"/>
  <c r="H84" i="1"/>
  <c r="G85" i="1"/>
  <c r="K31" i="1"/>
  <c r="H31" i="1"/>
  <c r="G32" i="1"/>
  <c r="H139" i="1" l="1"/>
  <c r="K139" i="1"/>
  <c r="G192" i="12"/>
  <c r="H192" i="12" s="1"/>
  <c r="H191" i="12"/>
  <c r="G139" i="12"/>
  <c r="H139" i="12" s="1"/>
  <c r="H138" i="12"/>
  <c r="G86" i="12"/>
  <c r="H86" i="12" s="1"/>
  <c r="H85" i="12"/>
  <c r="G33" i="12"/>
  <c r="H33" i="12" s="1"/>
  <c r="H32" i="12"/>
  <c r="G86" i="7"/>
  <c r="H86" i="7" s="1"/>
  <c r="H85" i="7"/>
  <c r="G33" i="7"/>
  <c r="H33" i="7" s="1"/>
  <c r="H32" i="7"/>
  <c r="G192" i="10"/>
  <c r="H192" i="10" s="1"/>
  <c r="H191" i="10"/>
  <c r="G86" i="10"/>
  <c r="H86" i="10" s="1"/>
  <c r="H85" i="10"/>
  <c r="G33" i="10"/>
  <c r="H33" i="10" s="1"/>
  <c r="H32" i="10"/>
  <c r="G192" i="5"/>
  <c r="H192" i="5" s="1"/>
  <c r="H191" i="5"/>
  <c r="G86" i="5"/>
  <c r="H86" i="5" s="1"/>
  <c r="H85" i="5"/>
  <c r="G33" i="5"/>
  <c r="H33" i="5" s="1"/>
  <c r="H32" i="5"/>
  <c r="H191" i="11"/>
  <c r="G192" i="11"/>
  <c r="H192" i="11" s="1"/>
  <c r="G139" i="11"/>
  <c r="H139" i="11" s="1"/>
  <c r="H138" i="11"/>
  <c r="G86" i="11"/>
  <c r="H86" i="11" s="1"/>
  <c r="H85" i="11"/>
  <c r="G33" i="11"/>
  <c r="H33" i="11" s="1"/>
  <c r="H32" i="11"/>
  <c r="G139" i="4"/>
  <c r="H139" i="4" s="1"/>
  <c r="H138" i="4"/>
  <c r="G192" i="1"/>
  <c r="K191" i="1"/>
  <c r="H191" i="1"/>
  <c r="G86" i="1"/>
  <c r="K85" i="1"/>
  <c r="H85" i="1"/>
  <c r="H32" i="1"/>
  <c r="K32" i="1"/>
  <c r="G33" i="1"/>
  <c r="G140" i="1" l="1"/>
  <c r="G141" i="1" s="1"/>
  <c r="G142" i="1" s="1"/>
  <c r="K192" i="1"/>
  <c r="H192" i="1"/>
  <c r="K86" i="1"/>
  <c r="H86" i="1"/>
  <c r="K33" i="1"/>
  <c r="H33" i="1"/>
  <c r="F43" i="12"/>
  <c r="F42" i="12"/>
  <c r="F41" i="12"/>
  <c r="F40" i="12"/>
  <c r="F39" i="12"/>
  <c r="F38" i="12"/>
  <c r="F37" i="12"/>
  <c r="F36" i="12"/>
  <c r="F35" i="12"/>
  <c r="F34" i="12"/>
  <c r="F95" i="12"/>
  <c r="F94" i="12"/>
  <c r="F93" i="12"/>
  <c r="F92" i="12"/>
  <c r="F91" i="12"/>
  <c r="F90" i="12"/>
  <c r="F89" i="12"/>
  <c r="F88" i="12"/>
  <c r="F87" i="12"/>
  <c r="F201" i="12"/>
  <c r="F200" i="12"/>
  <c r="F199" i="12"/>
  <c r="F198" i="12"/>
  <c r="F197" i="12"/>
  <c r="F196" i="12"/>
  <c r="F195" i="12"/>
  <c r="F194" i="12"/>
  <c r="F193" i="12"/>
  <c r="F153" i="12"/>
  <c r="F152" i="12"/>
  <c r="F151" i="12"/>
  <c r="F150" i="12"/>
  <c r="F149" i="12"/>
  <c r="F148" i="12"/>
  <c r="F146" i="12"/>
  <c r="F145" i="12"/>
  <c r="F144" i="12"/>
  <c r="F143" i="12"/>
  <c r="F142" i="12"/>
  <c r="F141" i="12"/>
  <c r="F140" i="12"/>
  <c r="F42" i="9"/>
  <c r="F41" i="9"/>
  <c r="F40" i="9"/>
  <c r="F39" i="9"/>
  <c r="F38" i="9"/>
  <c r="F37" i="9"/>
  <c r="F36" i="9"/>
  <c r="F35" i="9"/>
  <c r="F34" i="9"/>
  <c r="F96" i="9"/>
  <c r="F95" i="9"/>
  <c r="F94" i="9"/>
  <c r="F93" i="9"/>
  <c r="F92" i="9"/>
  <c r="F91" i="9"/>
  <c r="F90" i="9"/>
  <c r="F89" i="9"/>
  <c r="F88" i="9"/>
  <c r="F87" i="9"/>
  <c r="F203" i="9"/>
  <c r="F202" i="9"/>
  <c r="F201" i="9"/>
  <c r="F200" i="9"/>
  <c r="F199" i="9"/>
  <c r="F198" i="9"/>
  <c r="F197" i="9"/>
  <c r="F196" i="9"/>
  <c r="F195" i="9"/>
  <c r="F194" i="9"/>
  <c r="F193" i="9"/>
  <c r="F153" i="9"/>
  <c r="F152" i="9"/>
  <c r="F151" i="9"/>
  <c r="F150" i="9"/>
  <c r="F149" i="9"/>
  <c r="F147" i="9"/>
  <c r="F146" i="9"/>
  <c r="F145" i="9"/>
  <c r="F144" i="9"/>
  <c r="F143" i="9"/>
  <c r="F142" i="9"/>
  <c r="F141" i="9"/>
  <c r="F204" i="7"/>
  <c r="F203" i="7"/>
  <c r="F200" i="7"/>
  <c r="F199" i="7"/>
  <c r="F198" i="7"/>
  <c r="F197" i="7"/>
  <c r="F196" i="7"/>
  <c r="F195" i="7"/>
  <c r="F194" i="7"/>
  <c r="F193" i="7"/>
  <c r="F192" i="7"/>
  <c r="F151" i="7"/>
  <c r="F150" i="7"/>
  <c r="F147" i="7"/>
  <c r="F146" i="7"/>
  <c r="F145" i="7"/>
  <c r="F144" i="7"/>
  <c r="F143" i="7"/>
  <c r="F142" i="7"/>
  <c r="F141" i="7"/>
  <c r="F140" i="7"/>
  <c r="F45" i="7"/>
  <c r="F44" i="7"/>
  <c r="F41" i="7"/>
  <c r="F40" i="7"/>
  <c r="F39" i="7"/>
  <c r="F38" i="7"/>
  <c r="F37" i="7"/>
  <c r="F36" i="7"/>
  <c r="F35" i="7"/>
  <c r="F34" i="7"/>
  <c r="F95" i="7"/>
  <c r="F94" i="7"/>
  <c r="F93" i="7"/>
  <c r="F92" i="7"/>
  <c r="F91" i="7"/>
  <c r="F90" i="7"/>
  <c r="F89" i="7"/>
  <c r="F203" i="10"/>
  <c r="F202" i="10"/>
  <c r="F201" i="10"/>
  <c r="F200" i="10"/>
  <c r="F199" i="10"/>
  <c r="F198" i="10"/>
  <c r="F197" i="10"/>
  <c r="F196" i="10"/>
  <c r="F195" i="10"/>
  <c r="F194" i="10"/>
  <c r="F193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100" i="10"/>
  <c r="F99" i="10"/>
  <c r="F98" i="10"/>
  <c r="F97" i="10"/>
  <c r="F96" i="10"/>
  <c r="F95" i="10"/>
  <c r="F93" i="10"/>
  <c r="F92" i="10"/>
  <c r="F91" i="10"/>
  <c r="F90" i="10"/>
  <c r="F89" i="10"/>
  <c r="F88" i="10"/>
  <c r="F87" i="10"/>
  <c r="F44" i="5"/>
  <c r="F43" i="5"/>
  <c r="F42" i="5"/>
  <c r="F41" i="5"/>
  <c r="F40" i="5"/>
  <c r="F39" i="5"/>
  <c r="F38" i="5"/>
  <c r="F37" i="5"/>
  <c r="F36" i="5"/>
  <c r="F35" i="5"/>
  <c r="F34" i="5"/>
  <c r="F97" i="5"/>
  <c r="F96" i="5"/>
  <c r="F95" i="5"/>
  <c r="F94" i="5"/>
  <c r="F93" i="5"/>
  <c r="F92" i="5"/>
  <c r="F91" i="5"/>
  <c r="F90" i="5"/>
  <c r="F89" i="5"/>
  <c r="F88" i="5"/>
  <c r="F87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205" i="11"/>
  <c r="F206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35" i="11"/>
  <c r="F34" i="11"/>
  <c r="F42" i="11"/>
  <c r="F41" i="11"/>
  <c r="F40" i="11"/>
  <c r="F39" i="11"/>
  <c r="F38" i="11"/>
  <c r="F37" i="11"/>
  <c r="F36" i="11"/>
  <c r="F96" i="4"/>
  <c r="F95" i="4"/>
  <c r="F94" i="4"/>
  <c r="F93" i="4"/>
  <c r="F92" i="4"/>
  <c r="F91" i="4"/>
  <c r="F90" i="4"/>
  <c r="F89" i="4"/>
  <c r="F201" i="4"/>
  <c r="F200" i="4"/>
  <c r="F197" i="4"/>
  <c r="F196" i="4"/>
  <c r="F195" i="4"/>
  <c r="F194" i="4"/>
  <c r="F193" i="4"/>
  <c r="F153" i="4"/>
  <c r="F152" i="4"/>
  <c r="F149" i="4"/>
  <c r="F148" i="4"/>
  <c r="F147" i="4"/>
  <c r="F146" i="4"/>
  <c r="F145" i="4"/>
  <c r="F144" i="4"/>
  <c r="F143" i="4"/>
  <c r="F142" i="4"/>
  <c r="F141" i="4"/>
  <c r="F140" i="4"/>
  <c r="F35" i="4"/>
  <c r="F34" i="4"/>
  <c r="F46" i="4"/>
  <c r="F43" i="4"/>
  <c r="F42" i="4"/>
  <c r="F41" i="4"/>
  <c r="F40" i="4"/>
  <c r="F39" i="4"/>
  <c r="F38" i="4"/>
  <c r="F99" i="4"/>
  <c r="F97" i="4"/>
  <c r="F88" i="4"/>
  <c r="F87" i="4"/>
  <c r="F197" i="1"/>
  <c r="F196" i="1"/>
  <c r="F195" i="1"/>
  <c r="F194" i="1"/>
  <c r="F193" i="1"/>
  <c r="F206" i="1"/>
  <c r="F204" i="1"/>
  <c r="F203" i="1"/>
  <c r="F202" i="1"/>
  <c r="F201" i="1"/>
  <c r="F200" i="1"/>
  <c r="F199" i="1"/>
  <c r="F198" i="1"/>
  <c r="F142" i="1"/>
  <c r="F141" i="1"/>
  <c r="F140" i="1"/>
  <c r="F89" i="1"/>
  <c r="F88" i="1"/>
  <c r="F87" i="1"/>
  <c r="F97" i="1"/>
  <c r="F96" i="1"/>
  <c r="F95" i="1"/>
  <c r="F94" i="1"/>
  <c r="F93" i="1"/>
  <c r="F92" i="1"/>
  <c r="F91" i="1"/>
  <c r="F90" i="1"/>
  <c r="F41" i="1"/>
  <c r="F40" i="1"/>
  <c r="F39" i="1"/>
  <c r="F38" i="1"/>
  <c r="F37" i="1"/>
  <c r="F36" i="1"/>
  <c r="F35" i="1"/>
  <c r="F34" i="1"/>
  <c r="F151" i="1"/>
  <c r="F150" i="1"/>
  <c r="F149" i="1"/>
  <c r="F148" i="1"/>
  <c r="F147" i="1"/>
  <c r="F146" i="1"/>
  <c r="F145" i="1"/>
  <c r="F98" i="1"/>
  <c r="F47" i="1"/>
  <c r="F46" i="1"/>
  <c r="F44" i="1"/>
  <c r="F43" i="1"/>
  <c r="F42" i="1"/>
  <c r="F100" i="1" l="1"/>
  <c r="G147" i="7" l="1"/>
  <c r="G150" i="7" s="1"/>
  <c r="G151" i="7" s="1"/>
  <c r="G140" i="7"/>
  <c r="G141" i="7" s="1"/>
  <c r="G142" i="7" s="1"/>
  <c r="G143" i="7" s="1"/>
  <c r="G144" i="7" s="1"/>
  <c r="G145" i="7" s="1"/>
  <c r="G146" i="7" s="1"/>
  <c r="G193" i="1"/>
  <c r="G194" i="1" s="1"/>
  <c r="G195" i="1" s="1"/>
  <c r="G196" i="1" s="1"/>
  <c r="G197" i="1" s="1"/>
  <c r="G193" i="9" l="1"/>
  <c r="G194" i="9" s="1"/>
  <c r="G195" i="9" s="1"/>
  <c r="G196" i="9" s="1"/>
  <c r="G197" i="9" s="1"/>
  <c r="G198" i="9"/>
  <c r="G199" i="9" s="1"/>
  <c r="G200" i="9" s="1"/>
  <c r="G201" i="9" s="1"/>
  <c r="G202" i="9" s="1"/>
  <c r="G203" i="9" s="1"/>
  <c r="G198" i="1" l="1"/>
  <c r="G199" i="1" s="1"/>
  <c r="G200" i="1" s="1"/>
  <c r="G201" i="1" s="1"/>
  <c r="G202" i="1" s="1"/>
  <c r="G203" i="1" s="1"/>
  <c r="G204" i="1" s="1"/>
  <c r="G206" i="1" s="1"/>
  <c r="G87" i="1"/>
  <c r="G88" i="1" s="1"/>
  <c r="G89" i="1" s="1"/>
  <c r="G145" i="10" l="1"/>
  <c r="G140" i="10"/>
  <c r="G141" i="10" s="1"/>
  <c r="G142" i="10" s="1"/>
  <c r="G143" i="10" s="1"/>
  <c r="G144" i="10" s="1"/>
  <c r="G39" i="10"/>
  <c r="G34" i="10"/>
  <c r="G35" i="10" s="1"/>
  <c r="G36" i="10" s="1"/>
  <c r="G37" i="10" s="1"/>
  <c r="G38" i="10" s="1"/>
  <c r="G200" i="11"/>
  <c r="G201" i="11" s="1"/>
  <c r="G202" i="11" s="1"/>
  <c r="G203" i="11" s="1"/>
  <c r="G204" i="11" s="1"/>
  <c r="G193" i="11"/>
  <c r="G194" i="11" s="1"/>
  <c r="G195" i="11" s="1"/>
  <c r="G196" i="11" s="1"/>
  <c r="G197" i="11" s="1"/>
  <c r="G198" i="11" s="1"/>
  <c r="G199" i="11" s="1"/>
  <c r="G147" i="11"/>
  <c r="G148" i="11" s="1"/>
  <c r="G149" i="11" s="1"/>
  <c r="G150" i="11" s="1"/>
  <c r="G151" i="11" s="1"/>
  <c r="G140" i="11"/>
  <c r="G141" i="11" s="1"/>
  <c r="G142" i="11" s="1"/>
  <c r="G143" i="11" s="1"/>
  <c r="G144" i="11" s="1"/>
  <c r="G145" i="11" s="1"/>
  <c r="G146" i="11" s="1"/>
  <c r="G87" i="11"/>
  <c r="G88" i="11" s="1"/>
  <c r="G89" i="11" s="1"/>
  <c r="G90" i="11" s="1"/>
  <c r="G91" i="11" s="1"/>
  <c r="G92" i="11" s="1"/>
  <c r="G93" i="11" s="1"/>
  <c r="G94" i="11"/>
  <c r="G95" i="11" s="1"/>
  <c r="G96" i="11" s="1"/>
  <c r="G97" i="11" s="1"/>
  <c r="G98" i="11" s="1"/>
  <c r="G201" i="4"/>
  <c r="G193" i="4"/>
  <c r="G194" i="4" s="1"/>
  <c r="G195" i="4" s="1"/>
  <c r="G196" i="4" s="1"/>
  <c r="G197" i="4" s="1"/>
  <c r="G200" i="4" s="1"/>
  <c r="G37" i="12" l="1"/>
  <c r="G38" i="12" s="1"/>
  <c r="G39" i="12" s="1"/>
  <c r="G40" i="12" s="1"/>
  <c r="G41" i="12" s="1"/>
  <c r="G42" i="12" s="1"/>
  <c r="G43" i="12" s="1"/>
  <c r="G34" i="12"/>
  <c r="G35" i="12" s="1"/>
  <c r="G36" i="12" s="1"/>
  <c r="G89" i="12"/>
  <c r="G90" i="12" s="1"/>
  <c r="G91" i="12" s="1"/>
  <c r="G92" i="12" s="1"/>
  <c r="G93" i="12" s="1"/>
  <c r="G94" i="12" s="1"/>
  <c r="G95" i="12" s="1"/>
  <c r="G87" i="12"/>
  <c r="G88" i="12" s="1"/>
  <c r="G193" i="12"/>
  <c r="G194" i="12" s="1"/>
  <c r="G195" i="12"/>
  <c r="G196" i="12" s="1"/>
  <c r="G197" i="12" s="1"/>
  <c r="G198" i="12" s="1"/>
  <c r="G199" i="12" s="1"/>
  <c r="G200" i="12" s="1"/>
  <c r="G201" i="12" s="1"/>
  <c r="G34" i="9"/>
  <c r="G35" i="9" s="1"/>
  <c r="G36" i="9" s="1"/>
  <c r="G37" i="9"/>
  <c r="G38" i="9" s="1"/>
  <c r="G39" i="9" s="1"/>
  <c r="G40" i="9" s="1"/>
  <c r="G41" i="9" s="1"/>
  <c r="G42" i="9" s="1"/>
  <c r="G87" i="9"/>
  <c r="G88" i="9" s="1"/>
  <c r="G89" i="9" s="1"/>
  <c r="G90" i="9" s="1"/>
  <c r="G91" i="9"/>
  <c r="G92" i="9" s="1"/>
  <c r="G93" i="9" s="1"/>
  <c r="G94" i="9" s="1"/>
  <c r="G95" i="9" s="1"/>
  <c r="G96" i="9" s="1"/>
  <c r="G192" i="7"/>
  <c r="G193" i="10"/>
  <c r="G194" i="10" s="1"/>
  <c r="G195" i="10" s="1"/>
  <c r="G196" i="10" s="1"/>
  <c r="G197" i="10"/>
  <c r="H145" i="10"/>
  <c r="G146" i="10"/>
  <c r="G147" i="10" s="1"/>
  <c r="G148" i="10" s="1"/>
  <c r="G149" i="10" s="1"/>
  <c r="G150" i="10" s="1"/>
  <c r="G151" i="10" s="1"/>
  <c r="G40" i="10"/>
  <c r="G41" i="10" s="1"/>
  <c r="G42" i="10" s="1"/>
  <c r="G43" i="10" s="1"/>
  <c r="G44" i="10" s="1"/>
  <c r="G45" i="10" s="1"/>
  <c r="H39" i="10"/>
  <c r="G200" i="7" l="1"/>
  <c r="G203" i="7" s="1"/>
  <c r="G204" i="7" s="1"/>
  <c r="G193" i="7"/>
  <c r="G194" i="7" s="1"/>
  <c r="G195" i="7" s="1"/>
  <c r="G196" i="7" s="1"/>
  <c r="G197" i="7" s="1"/>
  <c r="G198" i="7" s="1"/>
  <c r="G199" i="7" s="1"/>
  <c r="G41" i="7"/>
  <c r="G44" i="7" s="1"/>
  <c r="G45" i="7" s="1"/>
  <c r="G34" i="7"/>
  <c r="G35" i="7" s="1"/>
  <c r="G36" i="7" s="1"/>
  <c r="G37" i="7" s="1"/>
  <c r="G38" i="7" s="1"/>
  <c r="G39" i="7" s="1"/>
  <c r="G40" i="7" s="1"/>
  <c r="G198" i="10"/>
  <c r="G199" i="10" s="1"/>
  <c r="G200" i="10" s="1"/>
  <c r="G201" i="10" s="1"/>
  <c r="G202" i="10" s="1"/>
  <c r="G203" i="10" s="1"/>
  <c r="H197" i="10"/>
  <c r="G90" i="1" l="1"/>
  <c r="G91" i="1" s="1"/>
  <c r="G92" i="1" s="1"/>
  <c r="G93" i="1" s="1"/>
  <c r="G94" i="1" s="1"/>
  <c r="G95" i="1" s="1"/>
  <c r="G96" i="1" s="1"/>
  <c r="G97" i="1" s="1"/>
  <c r="G98" i="1" l="1"/>
  <c r="G100" i="1" l="1"/>
  <c r="H100" i="1" s="1"/>
  <c r="F153" i="1" l="1"/>
  <c r="F144" i="1"/>
  <c r="F143" i="1"/>
  <c r="F206" i="12"/>
  <c r="F205" i="12"/>
  <c r="F204" i="12"/>
  <c r="F203" i="12"/>
  <c r="F202" i="12"/>
  <c r="F147" i="12"/>
  <c r="F100" i="12"/>
  <c r="F99" i="12"/>
  <c r="F98" i="12"/>
  <c r="F97" i="12"/>
  <c r="F96" i="12"/>
  <c r="F47" i="12"/>
  <c r="F46" i="12"/>
  <c r="F45" i="12"/>
  <c r="F44" i="12"/>
  <c r="F206" i="9"/>
  <c r="F205" i="9"/>
  <c r="F204" i="9"/>
  <c r="F148" i="9"/>
  <c r="F140" i="9"/>
  <c r="F100" i="9"/>
  <c r="F99" i="9"/>
  <c r="F98" i="9"/>
  <c r="F97" i="9"/>
  <c r="F47" i="9"/>
  <c r="F46" i="9"/>
  <c r="F45" i="9"/>
  <c r="F44" i="9"/>
  <c r="F43" i="9"/>
  <c r="F153" i="11"/>
  <c r="F152" i="11"/>
  <c r="F100" i="11"/>
  <c r="F99" i="11"/>
  <c r="F47" i="11"/>
  <c r="F46" i="11"/>
  <c r="F45" i="11"/>
  <c r="F44" i="11"/>
  <c r="F43" i="11"/>
  <c r="F206" i="10"/>
  <c r="F205" i="10"/>
  <c r="F204" i="10"/>
  <c r="F153" i="10"/>
  <c r="F152" i="10"/>
  <c r="F94" i="10"/>
  <c r="F47" i="10"/>
  <c r="F46" i="10"/>
  <c r="F206" i="5"/>
  <c r="F100" i="5"/>
  <c r="F98" i="5"/>
  <c r="F47" i="5"/>
  <c r="F46" i="5"/>
  <c r="F45" i="5"/>
  <c r="F206" i="7"/>
  <c r="F205" i="7"/>
  <c r="F153" i="7"/>
  <c r="F152" i="7"/>
  <c r="F100" i="7"/>
  <c r="F99" i="7"/>
  <c r="F96" i="7"/>
  <c r="F88" i="7"/>
  <c r="F87" i="7"/>
  <c r="F47" i="7"/>
  <c r="F46" i="7"/>
  <c r="F205" i="4" l="1"/>
  <c r="F204" i="4"/>
  <c r="F203" i="4"/>
  <c r="F202" i="4"/>
  <c r="F100" i="4"/>
  <c r="F47" i="4"/>
  <c r="F37" i="4"/>
  <c r="F36" i="4"/>
  <c r="G204" i="9" l="1"/>
  <c r="G205" i="9" s="1"/>
  <c r="G206" i="9" s="1"/>
  <c r="G96" i="12" l="1"/>
  <c r="G97" i="12" s="1"/>
  <c r="G98" i="12" s="1"/>
  <c r="G99" i="12" s="1"/>
  <c r="G100" i="12" s="1"/>
  <c r="G202" i="12"/>
  <c r="G203" i="12" s="1"/>
  <c r="G204" i="12" s="1"/>
  <c r="G205" i="12" s="1"/>
  <c r="G206" i="12" s="1"/>
  <c r="G147" i="12"/>
  <c r="G140" i="12"/>
  <c r="G141" i="12" s="1"/>
  <c r="G142" i="12" s="1"/>
  <c r="G143" i="12" s="1"/>
  <c r="G144" i="12" s="1"/>
  <c r="G145" i="12" s="1"/>
  <c r="G146" i="12" s="1"/>
  <c r="G43" i="9"/>
  <c r="G44" i="9" s="1"/>
  <c r="G45" i="9" s="1"/>
  <c r="G46" i="9" s="1"/>
  <c r="G47" i="9" s="1"/>
  <c r="G140" i="9"/>
  <c r="G46" i="7"/>
  <c r="G47" i="7" s="1"/>
  <c r="G87" i="7"/>
  <c r="G88" i="7" s="1"/>
  <c r="G204" i="10"/>
  <c r="G205" i="10" s="1"/>
  <c r="G206" i="10" s="1"/>
  <c r="G152" i="10"/>
  <c r="G153" i="10" s="1"/>
  <c r="G46" i="10"/>
  <c r="G47" i="10" s="1"/>
  <c r="G45" i="5"/>
  <c r="G46" i="5" s="1"/>
  <c r="G47" i="5" s="1"/>
  <c r="G34" i="5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205" i="11"/>
  <c r="G206" i="11" s="1"/>
  <c r="G34" i="11"/>
  <c r="G35" i="11" s="1"/>
  <c r="G44" i="12" l="1"/>
  <c r="G45" i="12" s="1"/>
  <c r="G46" i="12" s="1"/>
  <c r="G47" i="12" s="1"/>
  <c r="G148" i="12"/>
  <c r="G149" i="12" s="1"/>
  <c r="G150" i="12" s="1"/>
  <c r="G151" i="12" s="1"/>
  <c r="G152" i="12" s="1"/>
  <c r="G153" i="12" s="1"/>
  <c r="G97" i="9"/>
  <c r="G98" i="9" s="1"/>
  <c r="G99" i="9" s="1"/>
  <c r="G100" i="9" s="1"/>
  <c r="G148" i="9"/>
  <c r="G141" i="9"/>
  <c r="G142" i="9" s="1"/>
  <c r="G143" i="9" s="1"/>
  <c r="G144" i="9" s="1"/>
  <c r="G145" i="9" s="1"/>
  <c r="G146" i="9" s="1"/>
  <c r="G147" i="9" s="1"/>
  <c r="G205" i="7"/>
  <c r="G206" i="7" s="1"/>
  <c r="G152" i="7"/>
  <c r="G153" i="7" s="1"/>
  <c r="G96" i="7"/>
  <c r="G99" i="7" s="1"/>
  <c r="G100" i="7" s="1"/>
  <c r="G89" i="7"/>
  <c r="G90" i="7" s="1"/>
  <c r="G91" i="7" s="1"/>
  <c r="G92" i="7" s="1"/>
  <c r="G93" i="7" s="1"/>
  <c r="G94" i="7" s="1"/>
  <c r="G95" i="7" s="1"/>
  <c r="G98" i="5"/>
  <c r="G100" i="5" s="1"/>
  <c r="G87" i="5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140" i="5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99" i="11"/>
  <c r="G100" i="11" s="1"/>
  <c r="G43" i="11"/>
  <c r="G44" i="11" s="1"/>
  <c r="G45" i="11" s="1"/>
  <c r="G46" i="11" s="1"/>
  <c r="G47" i="11" s="1"/>
  <c r="G36" i="11"/>
  <c r="G37" i="11" s="1"/>
  <c r="G38" i="11" s="1"/>
  <c r="G39" i="11" s="1"/>
  <c r="G40" i="11" s="1"/>
  <c r="G41" i="11" s="1"/>
  <c r="G42" i="11" s="1"/>
  <c r="G36" i="4"/>
  <c r="G37" i="4" s="1"/>
  <c r="G47" i="4" s="1"/>
  <c r="G34" i="4"/>
  <c r="G35" i="4" s="1"/>
  <c r="G149" i="9" l="1"/>
  <c r="G150" i="9" s="1"/>
  <c r="G151" i="9" s="1"/>
  <c r="G152" i="9" s="1"/>
  <c r="G153" i="9" s="1"/>
  <c r="G38" i="4"/>
  <c r="G39" i="4" s="1"/>
  <c r="G40" i="4" s="1"/>
  <c r="G41" i="4" s="1"/>
  <c r="G42" i="4" s="1"/>
  <c r="G43" i="4" s="1"/>
  <c r="G46" i="4" s="1"/>
  <c r="G202" i="4"/>
  <c r="G203" i="4" s="1"/>
  <c r="G204" i="4" s="1"/>
  <c r="G205" i="4" s="1"/>
  <c r="G142" i="4"/>
  <c r="G143" i="4" s="1"/>
  <c r="G42" i="1"/>
  <c r="G43" i="1" s="1"/>
  <c r="G44" i="1" s="1"/>
  <c r="G46" i="1" s="1"/>
  <c r="G47" i="1" s="1"/>
  <c r="G34" i="1"/>
  <c r="G35" i="1" s="1"/>
  <c r="G36" i="1" s="1"/>
  <c r="G37" i="1" s="1"/>
  <c r="G38" i="1" s="1"/>
  <c r="G39" i="1" s="1"/>
  <c r="G40" i="1" s="1"/>
  <c r="G41" i="1" s="1"/>
  <c r="G153" i="1"/>
  <c r="G206" i="5" l="1"/>
  <c r="G193" i="5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153" i="4"/>
  <c r="G144" i="4"/>
  <c r="G145" i="4" s="1"/>
  <c r="G146" i="4" s="1"/>
  <c r="G147" i="4" s="1"/>
  <c r="G148" i="4" s="1"/>
  <c r="G149" i="4" s="1"/>
  <c r="G152" i="4" s="1"/>
  <c r="G140" i="4"/>
  <c r="G141" i="4" s="1"/>
  <c r="G100" i="4" l="1"/>
  <c r="G87" i="4"/>
  <c r="G88" i="4" s="1"/>
  <c r="G97" i="4" l="1"/>
  <c r="G99" i="4" s="1"/>
  <c r="G89" i="4"/>
  <c r="G90" i="4" s="1"/>
  <c r="G91" i="4" s="1"/>
  <c r="G92" i="4" s="1"/>
  <c r="G93" i="4" s="1"/>
  <c r="G94" i="4" s="1"/>
  <c r="G95" i="4" s="1"/>
  <c r="G96" i="4" s="1"/>
  <c r="G87" i="10" l="1"/>
  <c r="G88" i="10" s="1"/>
  <c r="G89" i="10" s="1"/>
  <c r="G90" i="10" s="1"/>
  <c r="G91" i="10" s="1"/>
  <c r="G92" i="10" s="1"/>
  <c r="G93" i="10" s="1"/>
  <c r="G152" i="11" l="1"/>
  <c r="G94" i="10"/>
  <c r="G95" i="10" s="1"/>
  <c r="G96" i="10" s="1"/>
  <c r="G97" i="10" s="1"/>
  <c r="G98" i="10" s="1"/>
  <c r="G99" i="10" s="1"/>
  <c r="G100" i="10" s="1"/>
  <c r="G153" i="11" l="1"/>
  <c r="H153" i="11" s="1"/>
  <c r="H152" i="11"/>
  <c r="H94" i="10"/>
</calcChain>
</file>

<file path=xl/sharedStrings.xml><?xml version="1.0" encoding="utf-8"?>
<sst xmlns="http://schemas.openxmlformats.org/spreadsheetml/2006/main" count="3269" uniqueCount="89">
  <si>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</si>
  <si>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</si>
  <si>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</si>
  <si>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</si>
  <si>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</si>
  <si>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</si>
  <si>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</si>
  <si>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</si>
  <si>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</si>
  <si>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</si>
  <si>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</si>
  <si>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</si>
  <si>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</si>
  <si>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</si>
  <si>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</si>
  <si>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</si>
  <si>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</si>
  <si>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</si>
  <si>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</si>
  <si>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</si>
  <si>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</si>
  <si>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</si>
  <si>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</si>
  <si>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</si>
  <si>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</si>
  <si>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</si>
  <si>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</si>
  <si>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</si>
  <si>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</si>
  <si>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</si>
  <si>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</si>
  <si>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</si>
  <si>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</si>
  <si>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</si>
  <si>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</si>
  <si>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</si>
  <si>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</si>
  <si>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</si>
  <si>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</si>
  <si>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</si>
  <si>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</si>
  <si>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</si>
  <si>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</si>
  <si>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</si>
  <si>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</si>
  <si>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</si>
  <si>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</si>
  <si>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</si>
  <si>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</si>
  <si>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</si>
  <si>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</si>
  <si>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</si>
  <si>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</si>
  <si>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</si>
  <si>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</si>
  <si>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</si>
  <si>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</si>
  <si>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</si>
  <si>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</si>
  <si>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</si>
  <si>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</si>
  <si>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</si>
  <si>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</si>
  <si>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</si>
  <si>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</si>
  <si>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</si>
  <si>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</si>
  <si>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</si>
  <si>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</si>
  <si>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</si>
  <si>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</si>
  <si>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</si>
  <si>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</si>
  <si>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</si>
  <si>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</si>
  <si>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</si>
  <si>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</si>
  <si>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</si>
  <si>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16/03/2026 - 20/03/2026</t>
  </si>
  <si>
    <t>25/05/2026  - 29/05/2026</t>
  </si>
  <si>
    <t>01/06/2026 - 05/06/2026</t>
  </si>
  <si>
    <t>29/06/2026 - 03/07/2026</t>
  </si>
  <si>
    <t>15/06/2026 - 29/06/2026</t>
  </si>
  <si>
    <t>18/05/2026 - 15/05/2026</t>
  </si>
  <si>
    <t>16/06/2026 - 19/06/2026</t>
  </si>
  <si>
    <t>11/05/2026 - 11/05/2026</t>
  </si>
  <si>
    <t xml:space="preserve"> </t>
  </si>
  <si>
    <t>06/07/2026 - 10/07/2026</t>
  </si>
  <si>
    <t>Publication Date: 2026/07/16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</si>
</sst>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A0101"/>
      </left>
      <right style="thin">
        <color rgb="FF0A0101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/>
      <bottom style="dotted">
        <color rgb="FF0A01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A0101"/>
      </right>
      <top style="dotted">
        <color rgb="FF0A0101"/>
      </top>
      <bottom style="dotted">
        <color indexed="64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indexed="64"/>
      </bottom>
      <diagonal/>
    </border>
    <border>
      <left style="thin">
        <color rgb="FF0A0101"/>
      </left>
      <right style="thin">
        <color indexed="64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indexed="64"/>
      </bottom>
      <diagonal/>
    </border>
    <border>
      <left style="thin">
        <color indexed="64"/>
      </left>
      <right style="thin">
        <color rgb="FF0A0101"/>
      </right>
      <top/>
      <bottom style="dotted">
        <color indexed="64"/>
      </bottom>
      <diagonal/>
    </border>
    <border>
      <left style="thin">
        <color rgb="FF0A0101"/>
      </left>
      <right style="thin">
        <color rgb="FF0A0101"/>
      </right>
      <top/>
      <bottom style="dotted">
        <color indexed="64"/>
      </bottom>
      <diagonal/>
    </border>
    <border>
      <left style="thin">
        <color indexed="64"/>
      </left>
      <right style="thin">
        <color rgb="FF0A0101"/>
      </right>
      <top style="dotted">
        <color indexed="64"/>
      </top>
      <bottom style="dotted">
        <color indexed="64"/>
      </bottom>
      <diagonal/>
    </border>
    <border>
      <left style="thin">
        <color rgb="FF0A0101"/>
      </left>
      <right style="thin">
        <color rgb="FF0A0101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01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9" fillId="0" borderId="10" xfId="0" applyFont="1" applyBorder="1" applyAlignment="1">
      <alignment horizontal="right" vertical="center" wrapText="1"/>
    </xf>
    <xf numFmtId="0" fontId="15" fillId="6" borderId="0" xfId="0" applyFont="1" applyFill="1"/>
    <xf numFmtId="0" fontId="15" fillId="6" borderId="0" xfId="0" applyFont="1" applyFill="1" applyAlignment="1">
      <alignment horizontal="right"/>
    </xf>
    <xf numFmtId="3" fontId="15" fillId="6" borderId="0" xfId="0" applyNumberFormat="1" applyFont="1" applyFill="1" applyAlignment="1">
      <alignment horizontal="right"/>
    </xf>
    <xf numFmtId="3" fontId="15" fillId="6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right"/>
    </xf>
    <xf numFmtId="3" fontId="5" fillId="0" borderId="24" xfId="0" applyNumberFormat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8" fillId="0" borderId="0" xfId="0" applyNumberFormat="1" applyFont="1"/>
    <xf numFmtId="0" fontId="5" fillId="2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3" fontId="7" fillId="0" borderId="21" xfId="0" applyNumberFormat="1" applyFont="1" applyBorder="1"/>
    <xf numFmtId="4" fontId="7" fillId="0" borderId="0" xfId="0" applyNumberFormat="1" applyFont="1"/>
    <xf numFmtId="3" fontId="5" fillId="0" borderId="21" xfId="0" applyNumberFormat="1" applyFont="1" applyBorder="1"/>
    <xf numFmtId="0" fontId="9" fillId="0" borderId="11" xfId="0" applyFont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9" fillId="0" borderId="26" xfId="0" applyFont="1" applyBorder="1" applyAlignment="1">
      <alignment horizontal="right" vertical="center"/>
    </xf>
    <xf numFmtId="3" fontId="7" fillId="0" borderId="27" xfId="0" applyNumberFormat="1" applyFont="1" applyBorder="1"/>
    <xf numFmtId="3" fontId="5" fillId="0" borderId="27" xfId="0" applyNumberFormat="1" applyFont="1" applyBorder="1"/>
    <xf numFmtId="3" fontId="7" fillId="0" borderId="28" xfId="0" applyNumberFormat="1" applyFont="1" applyBorder="1"/>
    <xf numFmtId="3" fontId="7" fillId="0" borderId="29" xfId="0" applyNumberFormat="1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0" fillId="0" borderId="30" xfId="0" applyFont="1" applyBorder="1" applyAlignment="1">
      <alignment horizontal="right" vertical="center"/>
    </xf>
    <xf numFmtId="3" fontId="8" fillId="0" borderId="27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3" fontId="5" fillId="0" borderId="32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9" fillId="0" borderId="19" xfId="0" applyFont="1" applyBorder="1" applyAlignment="1">
      <alignment horizontal="right" vertical="center"/>
    </xf>
    <xf numFmtId="3" fontId="7" fillId="0" borderId="34" xfId="0" applyNumberFormat="1" applyFont="1" applyBorder="1"/>
    <xf numFmtId="3" fontId="5" fillId="0" borderId="29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5" fillId="0" borderId="36" xfId="0" applyNumberFormat="1" applyFont="1" applyBorder="1"/>
    <xf numFmtId="3" fontId="5" fillId="9" borderId="5" xfId="0" applyNumberFormat="1" applyFont="1" applyFill="1" applyBorder="1"/>
    <xf numFmtId="3" fontId="7" fillId="0" borderId="37" xfId="0" applyNumberFormat="1" applyFont="1" applyBorder="1"/>
    <xf numFmtId="3" fontId="7" fillId="0" borderId="38" xfId="0" applyNumberFormat="1" applyFont="1" applyBorder="1"/>
    <xf numFmtId="3" fontId="5" fillId="0" borderId="38" xfId="0" applyNumberFormat="1" applyFont="1" applyBorder="1"/>
    <xf numFmtId="3" fontId="5" fillId="10" borderId="5" xfId="0" applyNumberFormat="1" applyFont="1" applyFill="1" applyBorder="1"/>
    <xf numFmtId="3" fontId="5" fillId="5" borderId="5" xfId="0" applyNumberFormat="1" applyFont="1" applyFill="1" applyBorder="1"/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6" fillId="0" borderId="9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horizontal="center"/>
    </xf>
    <xf numFmtId="3" fontId="12" fillId="6" borderId="0" xfId="0" applyNumberFormat="1" applyFont="1" applyFill="1"/>
    <xf numFmtId="3" fontId="2" fillId="6" borderId="0" xfId="0" applyNumberFormat="1" applyFont="1" applyFill="1"/>
    <xf numFmtId="3" fontId="5" fillId="2" borderId="22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wrapText="1"/>
    </xf>
    <xf numFmtId="3" fontId="5" fillId="2" borderId="23" xfId="0" applyNumberFormat="1" applyFont="1" applyFill="1" applyBorder="1" applyAlignment="1">
      <alignment horizontal="center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Raisins'!$G$62:$G$100</c:f>
              <c:numCache>
                <c:formatCode>#,##0</c:formatCode>
                <c:ptCount val="25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46250353.209999993</c:v>
                </c:pt>
                <c:pt idx="7">
                  <c:v>55404347.75999999</c:v>
                </c:pt>
                <c:pt idx="8">
                  <c:v>64306088.339999989</c:v>
                </c:pt>
                <c:pt idx="9">
                  <c:v>68939281.609999985</c:v>
                </c:pt>
                <c:pt idx="10">
                  <c:v>70575730.649999991</c:v>
                </c:pt>
                <c:pt idx="11">
                  <c:v>72518124.649999991</c:v>
                </c:pt>
                <c:pt idx="12">
                  <c:v>75114443.479999989</c:v>
                </c:pt>
                <c:pt idx="13">
                  <c:v>76192712.479999989</c:v>
                </c:pt>
                <c:pt idx="14">
                  <c:v>76665754.979999989</c:v>
                </c:pt>
                <c:pt idx="15">
                  <c:v>77599786.479999989</c:v>
                </c:pt>
                <c:pt idx="16">
                  <c:v>77779977.979999989</c:v>
                </c:pt>
                <c:pt idx="17">
                  <c:v>78244487.979999989</c:v>
                </c:pt>
                <c:pt idx="18">
                  <c:v>78947773.979999989</c:v>
                </c:pt>
                <c:pt idx="19">
                  <c:v>79772920.479999989</c:v>
                </c:pt>
                <c:pt idx="20">
                  <c:v>80033675.779999986</c:v>
                </c:pt>
                <c:pt idx="21">
                  <c:v>80407713.979999989</c:v>
                </c:pt>
                <c:pt idx="22">
                  <c:v>80514479.779999986</c:v>
                </c:pt>
                <c:pt idx="23">
                  <c:v>80581513.279999986</c:v>
                </c:pt>
                <c:pt idx="24">
                  <c:v>80458910.279999986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Raisins'!$I$62:$I$100</c:f>
              <c:numCache>
                <c:formatCode>#,##0</c:formatCode>
                <c:ptCount val="25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  <c:pt idx="7">
                  <c:v>47096889.210000001</c:v>
                </c:pt>
                <c:pt idx="8">
                  <c:v>54007618.460000001</c:v>
                </c:pt>
                <c:pt idx="9">
                  <c:v>59100133.219999999</c:v>
                </c:pt>
                <c:pt idx="10">
                  <c:v>65301742.93</c:v>
                </c:pt>
                <c:pt idx="11">
                  <c:v>68748280.700000003</c:v>
                </c:pt>
                <c:pt idx="12">
                  <c:v>72617310.730000004</c:v>
                </c:pt>
                <c:pt idx="13">
                  <c:v>74812805.730000004</c:v>
                </c:pt>
                <c:pt idx="14">
                  <c:v>78526571.730000004</c:v>
                </c:pt>
                <c:pt idx="15">
                  <c:v>80033826.980000004</c:v>
                </c:pt>
                <c:pt idx="16">
                  <c:v>81421712.270000011</c:v>
                </c:pt>
                <c:pt idx="17">
                  <c:v>82388268.280000016</c:v>
                </c:pt>
                <c:pt idx="18">
                  <c:v>82745810.060000017</c:v>
                </c:pt>
                <c:pt idx="19">
                  <c:v>82858058.090000018</c:v>
                </c:pt>
                <c:pt idx="20">
                  <c:v>82907218.430000022</c:v>
                </c:pt>
                <c:pt idx="21">
                  <c:v>82907218.430000022</c:v>
                </c:pt>
                <c:pt idx="22">
                  <c:v>82907218.430000022</c:v>
                </c:pt>
                <c:pt idx="23">
                  <c:v>82907218.430000022</c:v>
                </c:pt>
                <c:pt idx="24">
                  <c:v>82907218.430000022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Raisins'!$L$62:$L$100</c:f>
              <c:numCache>
                <c:formatCode>#,##0</c:formatCode>
                <c:ptCount val="25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  <c:pt idx="7">
                  <c:v>49382648.399999999</c:v>
                </c:pt>
                <c:pt idx="8">
                  <c:v>54124339.460000001</c:v>
                </c:pt>
                <c:pt idx="9">
                  <c:v>57684243.960000001</c:v>
                </c:pt>
                <c:pt idx="10">
                  <c:v>60360222.109999999</c:v>
                </c:pt>
                <c:pt idx="11">
                  <c:v>62335611.869999997</c:v>
                </c:pt>
                <c:pt idx="12">
                  <c:v>64091713.130000003</c:v>
                </c:pt>
                <c:pt idx="13">
                  <c:v>65231277.880000003</c:v>
                </c:pt>
                <c:pt idx="14">
                  <c:v>66609744.539999999</c:v>
                </c:pt>
                <c:pt idx="15">
                  <c:v>67212083.040000007</c:v>
                </c:pt>
                <c:pt idx="16">
                  <c:v>67899569.579999998</c:v>
                </c:pt>
                <c:pt idx="17">
                  <c:v>68328959</c:v>
                </c:pt>
                <c:pt idx="18">
                  <c:v>68431045.170000002</c:v>
                </c:pt>
                <c:pt idx="19">
                  <c:v>68476490.420000002</c:v>
                </c:pt>
                <c:pt idx="20">
                  <c:v>69038520.930000007</c:v>
                </c:pt>
                <c:pt idx="21">
                  <c:v>69038520.930000007</c:v>
                </c:pt>
                <c:pt idx="22">
                  <c:v>69038520.930000007</c:v>
                </c:pt>
                <c:pt idx="23">
                  <c:v>69038520.930000007</c:v>
                </c:pt>
                <c:pt idx="24">
                  <c:v>69038520.930000007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Flame!$G$9:$G$47</c:f>
              <c:numCache>
                <c:formatCode>#,##0</c:formatCode>
                <c:ptCount val="25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4723981.6000000006</c:v>
                </c:pt>
                <c:pt idx="7">
                  <c:v>5763408.290000001</c:v>
                </c:pt>
                <c:pt idx="8">
                  <c:v>6789068.9800000004</c:v>
                </c:pt>
                <c:pt idx="9">
                  <c:v>7266686.1400000006</c:v>
                </c:pt>
                <c:pt idx="10">
                  <c:v>7439562.7400000002</c:v>
                </c:pt>
                <c:pt idx="11">
                  <c:v>7764981.2400000002</c:v>
                </c:pt>
                <c:pt idx="12">
                  <c:v>8113288.3100000005</c:v>
                </c:pt>
                <c:pt idx="13">
                  <c:v>8284343.3900000006</c:v>
                </c:pt>
                <c:pt idx="14">
                  <c:v>8360600.4100000001</c:v>
                </c:pt>
                <c:pt idx="15">
                  <c:v>8382113.4100000001</c:v>
                </c:pt>
                <c:pt idx="16">
                  <c:v>8393306.4100000001</c:v>
                </c:pt>
                <c:pt idx="17">
                  <c:v>8400606.9100000001</c:v>
                </c:pt>
                <c:pt idx="18">
                  <c:v>8465309.4100000001</c:v>
                </c:pt>
                <c:pt idx="19">
                  <c:v>8477564.9100000001</c:v>
                </c:pt>
                <c:pt idx="20">
                  <c:v>8478424.9100000001</c:v>
                </c:pt>
                <c:pt idx="21">
                  <c:v>8478424.9100000001</c:v>
                </c:pt>
                <c:pt idx="22">
                  <c:v>8478625.4100000001</c:v>
                </c:pt>
                <c:pt idx="23">
                  <c:v>8478625.4100000001</c:v>
                </c:pt>
                <c:pt idx="24">
                  <c:v>8483014.4100000001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Flame!$I$9:$I$47</c:f>
              <c:numCache>
                <c:formatCode>#,##0</c:formatCode>
                <c:ptCount val="25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  <c:pt idx="7">
                  <c:v>4271031.51</c:v>
                </c:pt>
                <c:pt idx="8">
                  <c:v>4795591.5299999993</c:v>
                </c:pt>
                <c:pt idx="9">
                  <c:v>5170061.28</c:v>
                </c:pt>
                <c:pt idx="10">
                  <c:v>5362354.78</c:v>
                </c:pt>
                <c:pt idx="11">
                  <c:v>5598317.29</c:v>
                </c:pt>
                <c:pt idx="12">
                  <c:v>5870379.7999999998</c:v>
                </c:pt>
                <c:pt idx="13">
                  <c:v>6161835.8300000001</c:v>
                </c:pt>
                <c:pt idx="14">
                  <c:v>6379277.3399999999</c:v>
                </c:pt>
                <c:pt idx="15">
                  <c:v>6440659.8499999996</c:v>
                </c:pt>
                <c:pt idx="16">
                  <c:v>6472887.3499999996</c:v>
                </c:pt>
                <c:pt idx="17">
                  <c:v>6474112.8499999996</c:v>
                </c:pt>
                <c:pt idx="18">
                  <c:v>6474112.8499999996</c:v>
                </c:pt>
                <c:pt idx="19">
                  <c:v>6474112.8499999996</c:v>
                </c:pt>
                <c:pt idx="20">
                  <c:v>6482345.3399999999</c:v>
                </c:pt>
                <c:pt idx="21">
                  <c:v>6482345.3399999999</c:v>
                </c:pt>
                <c:pt idx="22">
                  <c:v>6482345.3399999999</c:v>
                </c:pt>
                <c:pt idx="23">
                  <c:v>6482345.3399999999</c:v>
                </c:pt>
                <c:pt idx="24">
                  <c:v>6482345.3399999999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Flame!$G$62:$G$100</c:f>
              <c:numCache>
                <c:formatCode>#,##0</c:formatCode>
                <c:ptCount val="25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>
                  <c:v>2165828.52</c:v>
                </c:pt>
                <c:pt idx="5">
                  <c:v>2665833.02</c:v>
                </c:pt>
                <c:pt idx="6">
                  <c:v>3722220.12</c:v>
                </c:pt>
                <c:pt idx="7">
                  <c:v>4405635.6400000006</c:v>
                </c:pt>
                <c:pt idx="8">
                  <c:v>5019269.1500000004</c:v>
                </c:pt>
                <c:pt idx="9">
                  <c:v>5116590.16</c:v>
                </c:pt>
                <c:pt idx="10">
                  <c:v>5181649.68</c:v>
                </c:pt>
                <c:pt idx="11">
                  <c:v>5263691.68</c:v>
                </c:pt>
                <c:pt idx="12">
                  <c:v>5286749.68</c:v>
                </c:pt>
                <c:pt idx="13">
                  <c:v>5301616.68</c:v>
                </c:pt>
                <c:pt idx="14">
                  <c:v>5301616.68</c:v>
                </c:pt>
                <c:pt idx="15">
                  <c:v>5303836.68</c:v>
                </c:pt>
                <c:pt idx="16">
                  <c:v>5315029.68</c:v>
                </c:pt>
                <c:pt idx="17">
                  <c:v>5321358.68</c:v>
                </c:pt>
                <c:pt idx="18">
                  <c:v>5329468.68</c:v>
                </c:pt>
                <c:pt idx="19">
                  <c:v>5341724.18</c:v>
                </c:pt>
                <c:pt idx="20">
                  <c:v>5342584.18</c:v>
                </c:pt>
                <c:pt idx="21">
                  <c:v>5342584.18</c:v>
                </c:pt>
                <c:pt idx="22">
                  <c:v>5342784.68</c:v>
                </c:pt>
                <c:pt idx="23">
                  <c:v>5342784.68</c:v>
                </c:pt>
                <c:pt idx="24">
                  <c:v>5340394.68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Flame!$I$62:$I$100</c:f>
              <c:numCache>
                <c:formatCode>#,##0</c:formatCode>
                <c:ptCount val="25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>
                  <c:v>1668881.77</c:v>
                </c:pt>
                <c:pt idx="5">
                  <c:v>2286506.52</c:v>
                </c:pt>
                <c:pt idx="6">
                  <c:v>3046002.02</c:v>
                </c:pt>
                <c:pt idx="7">
                  <c:v>3708187.77</c:v>
                </c:pt>
                <c:pt idx="8">
                  <c:v>4027895.25</c:v>
                </c:pt>
                <c:pt idx="9">
                  <c:v>4364032.75</c:v>
                </c:pt>
                <c:pt idx="10">
                  <c:v>4534718.75</c:v>
                </c:pt>
                <c:pt idx="11">
                  <c:v>4630472.25</c:v>
                </c:pt>
                <c:pt idx="12">
                  <c:v>4877089.25</c:v>
                </c:pt>
                <c:pt idx="13">
                  <c:v>4986330.75</c:v>
                </c:pt>
                <c:pt idx="14">
                  <c:v>5134378.75</c:v>
                </c:pt>
                <c:pt idx="15">
                  <c:v>5182906.75</c:v>
                </c:pt>
                <c:pt idx="16">
                  <c:v>5189368.25</c:v>
                </c:pt>
                <c:pt idx="17">
                  <c:v>5189685.75</c:v>
                </c:pt>
                <c:pt idx="18">
                  <c:v>5189685.75</c:v>
                </c:pt>
                <c:pt idx="19">
                  <c:v>5189685.75</c:v>
                </c:pt>
                <c:pt idx="20">
                  <c:v>5197918.24</c:v>
                </c:pt>
                <c:pt idx="21">
                  <c:v>5197918.24</c:v>
                </c:pt>
                <c:pt idx="22">
                  <c:v>5197918.24</c:v>
                </c:pt>
                <c:pt idx="23">
                  <c:v>5197918.24</c:v>
                </c:pt>
                <c:pt idx="24">
                  <c:v>5197918.24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Flame!$G$115:$G$153</c:f>
              <c:numCache>
                <c:formatCode>#,##0</c:formatCode>
                <c:ptCount val="25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  <c:pt idx="7">
                  <c:v>814207.01</c:v>
                </c:pt>
                <c:pt idx="8">
                  <c:v>1193907.1400000001</c:v>
                </c:pt>
                <c:pt idx="9">
                  <c:v>1535183.77</c:v>
                </c:pt>
                <c:pt idx="10">
                  <c:v>1591463.82</c:v>
                </c:pt>
                <c:pt idx="11">
                  <c:v>1810763.32</c:v>
                </c:pt>
                <c:pt idx="12">
                  <c:v>2119733.39</c:v>
                </c:pt>
                <c:pt idx="13">
                  <c:v>2275921.4700000002</c:v>
                </c:pt>
                <c:pt idx="14">
                  <c:v>2352178.4900000002</c:v>
                </c:pt>
                <c:pt idx="15">
                  <c:v>2371471.4900000002</c:v>
                </c:pt>
                <c:pt idx="16">
                  <c:v>2371471.4900000002</c:v>
                </c:pt>
                <c:pt idx="17">
                  <c:v>2372442.9900000002</c:v>
                </c:pt>
                <c:pt idx="18">
                  <c:v>2429035.4900000002</c:v>
                </c:pt>
                <c:pt idx="19">
                  <c:v>2429035.4900000002</c:v>
                </c:pt>
                <c:pt idx="20">
                  <c:v>2429035.4900000002</c:v>
                </c:pt>
                <c:pt idx="21">
                  <c:v>2429035.4900000002</c:v>
                </c:pt>
                <c:pt idx="22">
                  <c:v>2429035.4900000002</c:v>
                </c:pt>
                <c:pt idx="23">
                  <c:v>2429035.4900000002</c:v>
                </c:pt>
                <c:pt idx="24">
                  <c:v>2435814.4900000002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Flame!$I$115:$I$153</c:f>
              <c:numCache>
                <c:formatCode>#,##0</c:formatCode>
                <c:ptCount val="25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  <c:pt idx="7">
                  <c:v>373000.15</c:v>
                </c:pt>
                <c:pt idx="8">
                  <c:v>536072.16</c:v>
                </c:pt>
                <c:pt idx="9">
                  <c:v>574404.41</c:v>
                </c:pt>
                <c:pt idx="10">
                  <c:v>596011.91</c:v>
                </c:pt>
                <c:pt idx="11">
                  <c:v>736220.92</c:v>
                </c:pt>
                <c:pt idx="12">
                  <c:v>761666.43</c:v>
                </c:pt>
                <c:pt idx="13">
                  <c:v>943880.96</c:v>
                </c:pt>
                <c:pt idx="14">
                  <c:v>1013274.47</c:v>
                </c:pt>
                <c:pt idx="15">
                  <c:v>1026128.98</c:v>
                </c:pt>
                <c:pt idx="16">
                  <c:v>1036078.98</c:v>
                </c:pt>
                <c:pt idx="17">
                  <c:v>1036986.98</c:v>
                </c:pt>
                <c:pt idx="18">
                  <c:v>1036986.98</c:v>
                </c:pt>
                <c:pt idx="19">
                  <c:v>1036986.98</c:v>
                </c:pt>
                <c:pt idx="20">
                  <c:v>1036986.98</c:v>
                </c:pt>
                <c:pt idx="21">
                  <c:v>1036986.98</c:v>
                </c:pt>
                <c:pt idx="22">
                  <c:v>1036986.98</c:v>
                </c:pt>
                <c:pt idx="23">
                  <c:v>1036986.98</c:v>
                </c:pt>
                <c:pt idx="24">
                  <c:v>1036986.98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Flame!$G$168:$G$206</c:f>
              <c:numCache>
                <c:formatCode>#,##0</c:formatCode>
                <c:ptCount val="25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  <c:pt idx="7">
                  <c:v>543565.74</c:v>
                </c:pt>
                <c:pt idx="8">
                  <c:v>575892.79</c:v>
                </c:pt>
                <c:pt idx="9">
                  <c:v>614912.31000000006</c:v>
                </c:pt>
                <c:pt idx="10">
                  <c:v>666449.34000000008</c:v>
                </c:pt>
                <c:pt idx="11">
                  <c:v>690526.34000000008</c:v>
                </c:pt>
                <c:pt idx="12">
                  <c:v>706805.34000000008</c:v>
                </c:pt>
                <c:pt idx="13">
                  <c:v>706805.34000000008</c:v>
                </c:pt>
                <c:pt idx="14">
                  <c:v>706805.34000000008</c:v>
                </c:pt>
                <c:pt idx="15">
                  <c:v>706805.34000000008</c:v>
                </c:pt>
                <c:pt idx="16">
                  <c:v>706805.34000000008</c:v>
                </c:pt>
                <c:pt idx="17">
                  <c:v>706805.34000000008</c:v>
                </c:pt>
                <c:pt idx="18">
                  <c:v>706805.34000000008</c:v>
                </c:pt>
                <c:pt idx="19">
                  <c:v>706805.34000000008</c:v>
                </c:pt>
                <c:pt idx="20">
                  <c:v>706805.34000000008</c:v>
                </c:pt>
                <c:pt idx="21">
                  <c:v>706805.34000000008</c:v>
                </c:pt>
                <c:pt idx="22">
                  <c:v>706805.34000000008</c:v>
                </c:pt>
                <c:pt idx="23">
                  <c:v>706805.34000000008</c:v>
                </c:pt>
                <c:pt idx="24">
                  <c:v>706805.34000000008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Flame!$I$168:$I$206</c:f>
              <c:numCache>
                <c:formatCode>#,##0</c:formatCode>
                <c:ptCount val="25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  <c:pt idx="7">
                  <c:v>189843.59</c:v>
                </c:pt>
                <c:pt idx="8">
                  <c:v>231624.12</c:v>
                </c:pt>
                <c:pt idx="9">
                  <c:v>231624.12</c:v>
                </c:pt>
                <c:pt idx="10">
                  <c:v>231624.12</c:v>
                </c:pt>
                <c:pt idx="11">
                  <c:v>231624.12</c:v>
                </c:pt>
                <c:pt idx="12">
                  <c:v>231624.12</c:v>
                </c:pt>
                <c:pt idx="13">
                  <c:v>231624.12</c:v>
                </c:pt>
                <c:pt idx="14">
                  <c:v>231624.12</c:v>
                </c:pt>
                <c:pt idx="15">
                  <c:v>231624.12</c:v>
                </c:pt>
                <c:pt idx="16">
                  <c:v>247440.12</c:v>
                </c:pt>
                <c:pt idx="17">
                  <c:v>247440.12</c:v>
                </c:pt>
                <c:pt idx="18">
                  <c:v>247440.12</c:v>
                </c:pt>
                <c:pt idx="19">
                  <c:v>247440.12</c:v>
                </c:pt>
                <c:pt idx="20">
                  <c:v>247440.12</c:v>
                </c:pt>
                <c:pt idx="21">
                  <c:v>247440.12</c:v>
                </c:pt>
                <c:pt idx="22">
                  <c:v>247440.12</c:v>
                </c:pt>
                <c:pt idx="23">
                  <c:v>247440.12</c:v>
                </c:pt>
                <c:pt idx="24">
                  <c:v>247440.12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Sultana'!$G$9:$G$47</c:f>
              <c:numCache>
                <c:formatCode>#,##0</c:formatCode>
                <c:ptCount val="25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  <c:pt idx="7">
                  <c:v>3268454.84</c:v>
                </c:pt>
                <c:pt idx="8">
                  <c:v>3643439.36</c:v>
                </c:pt>
                <c:pt idx="9">
                  <c:v>3893338.86</c:v>
                </c:pt>
                <c:pt idx="10">
                  <c:v>3937291.86</c:v>
                </c:pt>
                <c:pt idx="11">
                  <c:v>3948098.86</c:v>
                </c:pt>
                <c:pt idx="12">
                  <c:v>4102812.86</c:v>
                </c:pt>
                <c:pt idx="13">
                  <c:v>4127753.36</c:v>
                </c:pt>
                <c:pt idx="14">
                  <c:v>4149169.86</c:v>
                </c:pt>
                <c:pt idx="15">
                  <c:v>4151755.86</c:v>
                </c:pt>
                <c:pt idx="16">
                  <c:v>4167743.86</c:v>
                </c:pt>
                <c:pt idx="17">
                  <c:v>4167743.86</c:v>
                </c:pt>
                <c:pt idx="18">
                  <c:v>4183062.86</c:v>
                </c:pt>
                <c:pt idx="19">
                  <c:v>4190145.86</c:v>
                </c:pt>
                <c:pt idx="20">
                  <c:v>4190145.86</c:v>
                </c:pt>
                <c:pt idx="21">
                  <c:v>4194294.86</c:v>
                </c:pt>
                <c:pt idx="22">
                  <c:v>4209602.8599999994</c:v>
                </c:pt>
                <c:pt idx="23">
                  <c:v>4209602.8599999994</c:v>
                </c:pt>
                <c:pt idx="24">
                  <c:v>4056127.3599999994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Sultana'!$I$9:$I$47</c:f>
              <c:numCache>
                <c:formatCode>#,##0</c:formatCode>
                <c:ptCount val="25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  <c:pt idx="7">
                  <c:v>7154259.3199999994</c:v>
                </c:pt>
                <c:pt idx="8">
                  <c:v>7868015.5699999994</c:v>
                </c:pt>
                <c:pt idx="9">
                  <c:v>8509271.5700000003</c:v>
                </c:pt>
                <c:pt idx="10">
                  <c:v>9145690.3200000003</c:v>
                </c:pt>
                <c:pt idx="11">
                  <c:v>9358579.5700000003</c:v>
                </c:pt>
                <c:pt idx="12">
                  <c:v>9696524.0700000003</c:v>
                </c:pt>
                <c:pt idx="13">
                  <c:v>9839810.0700000003</c:v>
                </c:pt>
                <c:pt idx="14">
                  <c:v>10038816.57</c:v>
                </c:pt>
                <c:pt idx="15">
                  <c:v>10125563.32</c:v>
                </c:pt>
                <c:pt idx="16">
                  <c:v>10167208.32</c:v>
                </c:pt>
                <c:pt idx="17">
                  <c:v>10172409.82</c:v>
                </c:pt>
                <c:pt idx="18">
                  <c:v>10172737.630000001</c:v>
                </c:pt>
                <c:pt idx="19">
                  <c:v>10174325.630000001</c:v>
                </c:pt>
                <c:pt idx="20">
                  <c:v>10177087.560000001</c:v>
                </c:pt>
                <c:pt idx="21">
                  <c:v>10177087.560000001</c:v>
                </c:pt>
                <c:pt idx="22">
                  <c:v>10177087.560000001</c:v>
                </c:pt>
                <c:pt idx="23">
                  <c:v>10177087.560000001</c:v>
                </c:pt>
                <c:pt idx="24">
                  <c:v>10177087.560000001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Sultana'!$G$115:$G$153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  <c:pt idx="7">
                  <c:v>165438</c:v>
                </c:pt>
                <c:pt idx="8">
                  <c:v>165438</c:v>
                </c:pt>
                <c:pt idx="9">
                  <c:v>165438</c:v>
                </c:pt>
                <c:pt idx="10">
                  <c:v>165438</c:v>
                </c:pt>
                <c:pt idx="11">
                  <c:v>165438</c:v>
                </c:pt>
                <c:pt idx="12">
                  <c:v>165438</c:v>
                </c:pt>
                <c:pt idx="13">
                  <c:v>165438</c:v>
                </c:pt>
                <c:pt idx="14">
                  <c:v>165438</c:v>
                </c:pt>
                <c:pt idx="15">
                  <c:v>165566</c:v>
                </c:pt>
                <c:pt idx="16">
                  <c:v>165566</c:v>
                </c:pt>
                <c:pt idx="17">
                  <c:v>165566</c:v>
                </c:pt>
                <c:pt idx="18">
                  <c:v>165566</c:v>
                </c:pt>
                <c:pt idx="19">
                  <c:v>165566</c:v>
                </c:pt>
                <c:pt idx="20">
                  <c:v>165566</c:v>
                </c:pt>
                <c:pt idx="21">
                  <c:v>165566</c:v>
                </c:pt>
                <c:pt idx="22">
                  <c:v>165566</c:v>
                </c:pt>
                <c:pt idx="23">
                  <c:v>165566</c:v>
                </c:pt>
                <c:pt idx="24">
                  <c:v>20671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Sultana'!$I$115:$I$153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Sultana'!$G$62:$G$100</c:f>
              <c:numCache>
                <c:formatCode>#,##0</c:formatCode>
                <c:ptCount val="25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  <c:pt idx="7">
                  <c:v>3099014.34</c:v>
                </c:pt>
                <c:pt idx="8">
                  <c:v>3473998.86</c:v>
                </c:pt>
                <c:pt idx="9">
                  <c:v>3723898.36</c:v>
                </c:pt>
                <c:pt idx="10">
                  <c:v>3767851.36</c:v>
                </c:pt>
                <c:pt idx="11">
                  <c:v>3778658.36</c:v>
                </c:pt>
                <c:pt idx="12">
                  <c:v>3933372.36</c:v>
                </c:pt>
                <c:pt idx="13">
                  <c:v>3958312.86</c:v>
                </c:pt>
                <c:pt idx="14">
                  <c:v>3979729.36</c:v>
                </c:pt>
                <c:pt idx="15">
                  <c:v>3982187.36</c:v>
                </c:pt>
                <c:pt idx="16">
                  <c:v>3998175.36</c:v>
                </c:pt>
                <c:pt idx="17">
                  <c:v>3998175.36</c:v>
                </c:pt>
                <c:pt idx="18">
                  <c:v>4013494.36</c:v>
                </c:pt>
                <c:pt idx="19">
                  <c:v>4020577.86</c:v>
                </c:pt>
                <c:pt idx="20">
                  <c:v>4020577.86</c:v>
                </c:pt>
                <c:pt idx="21">
                  <c:v>4024726.86</c:v>
                </c:pt>
                <c:pt idx="22">
                  <c:v>4040034.86</c:v>
                </c:pt>
                <c:pt idx="23">
                  <c:v>4040034.86</c:v>
                </c:pt>
                <c:pt idx="24">
                  <c:v>4031454.36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Sultana'!$I$62:$I$100</c:f>
              <c:numCache>
                <c:formatCode>#,##0</c:formatCode>
                <c:ptCount val="25"/>
                <c:pt idx="0">
                  <c:v>161927</c:v>
                </c:pt>
                <c:pt idx="1">
                  <c:v>1249151.6499999999</c:v>
                </c:pt>
                <c:pt idx="2">
                  <c:v>2219368.67</c:v>
                </c:pt>
                <c:pt idx="3">
                  <c:v>3118019.44</c:v>
                </c:pt>
                <c:pt idx="4">
                  <c:v>4138561.32</c:v>
                </c:pt>
                <c:pt idx="5">
                  <c:v>4784203.5599999996</c:v>
                </c:pt>
                <c:pt idx="6">
                  <c:v>6502006.0699999994</c:v>
                </c:pt>
                <c:pt idx="7">
                  <c:v>7150150.3199999994</c:v>
                </c:pt>
                <c:pt idx="8">
                  <c:v>7863906.5699999994</c:v>
                </c:pt>
                <c:pt idx="9">
                  <c:v>8505162.5700000003</c:v>
                </c:pt>
                <c:pt idx="10">
                  <c:v>9141581.3200000003</c:v>
                </c:pt>
                <c:pt idx="11">
                  <c:v>9354470.5700000003</c:v>
                </c:pt>
                <c:pt idx="12">
                  <c:v>9692415.0700000003</c:v>
                </c:pt>
                <c:pt idx="13">
                  <c:v>9835701.0700000003</c:v>
                </c:pt>
                <c:pt idx="14">
                  <c:v>10034707.57</c:v>
                </c:pt>
                <c:pt idx="15">
                  <c:v>10121454.32</c:v>
                </c:pt>
                <c:pt idx="16">
                  <c:v>10163099.32</c:v>
                </c:pt>
                <c:pt idx="17">
                  <c:v>10168300.82</c:v>
                </c:pt>
                <c:pt idx="18">
                  <c:v>10168628.630000001</c:v>
                </c:pt>
                <c:pt idx="19">
                  <c:v>10170216.630000001</c:v>
                </c:pt>
                <c:pt idx="20">
                  <c:v>10172978.560000001</c:v>
                </c:pt>
                <c:pt idx="21">
                  <c:v>10172978.560000001</c:v>
                </c:pt>
                <c:pt idx="22">
                  <c:v>10172978.560000001</c:v>
                </c:pt>
                <c:pt idx="23">
                  <c:v>10172978.560000001</c:v>
                </c:pt>
                <c:pt idx="24">
                  <c:v>10172978.560000001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Sultana'!$G$168:$G$206</c:f>
              <c:numCache>
                <c:formatCode>#,##0</c:formatCode>
                <c:ptCount val="25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  <c:pt idx="7">
                  <c:v>4002.5</c:v>
                </c:pt>
                <c:pt idx="8">
                  <c:v>4002.5</c:v>
                </c:pt>
                <c:pt idx="9">
                  <c:v>4002.5</c:v>
                </c:pt>
                <c:pt idx="10">
                  <c:v>4002.5</c:v>
                </c:pt>
                <c:pt idx="11">
                  <c:v>4002.5</c:v>
                </c:pt>
                <c:pt idx="12">
                  <c:v>4002.5</c:v>
                </c:pt>
                <c:pt idx="13">
                  <c:v>4002.5</c:v>
                </c:pt>
                <c:pt idx="14">
                  <c:v>4002.5</c:v>
                </c:pt>
                <c:pt idx="15">
                  <c:v>4002.5</c:v>
                </c:pt>
                <c:pt idx="16">
                  <c:v>4002.5</c:v>
                </c:pt>
                <c:pt idx="17">
                  <c:v>4002.5</c:v>
                </c:pt>
                <c:pt idx="18">
                  <c:v>4002.5</c:v>
                </c:pt>
                <c:pt idx="19">
                  <c:v>4002.5</c:v>
                </c:pt>
                <c:pt idx="20">
                  <c:v>4002.5</c:v>
                </c:pt>
                <c:pt idx="21">
                  <c:v>4002.5</c:v>
                </c:pt>
                <c:pt idx="22">
                  <c:v>4002.5</c:v>
                </c:pt>
                <c:pt idx="23">
                  <c:v>4002.5</c:v>
                </c:pt>
                <c:pt idx="24">
                  <c:v>4002.5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'SA Sultana'!$I$168:$I$206</c:f>
              <c:numCache>
                <c:formatCode>#,##0</c:formatCode>
                <c:ptCount val="25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  <c:pt idx="7">
                  <c:v>4109</c:v>
                </c:pt>
                <c:pt idx="8">
                  <c:v>4109</c:v>
                </c:pt>
                <c:pt idx="9">
                  <c:v>4109</c:v>
                </c:pt>
                <c:pt idx="10">
                  <c:v>4109</c:v>
                </c:pt>
                <c:pt idx="11">
                  <c:v>4109</c:v>
                </c:pt>
                <c:pt idx="12">
                  <c:v>4109</c:v>
                </c:pt>
                <c:pt idx="13">
                  <c:v>4109</c:v>
                </c:pt>
                <c:pt idx="14">
                  <c:v>4109</c:v>
                </c:pt>
                <c:pt idx="15">
                  <c:v>4109</c:v>
                </c:pt>
                <c:pt idx="16">
                  <c:v>4109</c:v>
                </c:pt>
                <c:pt idx="17">
                  <c:v>4109</c:v>
                </c:pt>
                <c:pt idx="18">
                  <c:v>4109</c:v>
                </c:pt>
                <c:pt idx="19">
                  <c:v>4109</c:v>
                </c:pt>
                <c:pt idx="20">
                  <c:v>4109</c:v>
                </c:pt>
                <c:pt idx="21">
                  <c:v>4109</c:v>
                </c:pt>
                <c:pt idx="22">
                  <c:v>4109</c:v>
                </c:pt>
                <c:pt idx="23">
                  <c:v>4109</c:v>
                </c:pt>
                <c:pt idx="24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Sultana'!$G$9:$G$47</c:f>
              <c:numCache>
                <c:formatCode>#,##0</c:formatCode>
                <c:ptCount val="25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  <c:pt idx="7">
                  <c:v>3426269.5300000003</c:v>
                </c:pt>
                <c:pt idx="8">
                  <c:v>3531664.0300000003</c:v>
                </c:pt>
                <c:pt idx="9">
                  <c:v>3560161.5300000003</c:v>
                </c:pt>
                <c:pt idx="10">
                  <c:v>3561056.5300000003</c:v>
                </c:pt>
                <c:pt idx="11">
                  <c:v>3565556.5300000003</c:v>
                </c:pt>
                <c:pt idx="12">
                  <c:v>3600324.5300000003</c:v>
                </c:pt>
                <c:pt idx="13">
                  <c:v>3601203.5300000003</c:v>
                </c:pt>
                <c:pt idx="14">
                  <c:v>3601431.5300000003</c:v>
                </c:pt>
                <c:pt idx="15">
                  <c:v>3611468.0300000003</c:v>
                </c:pt>
                <c:pt idx="16">
                  <c:v>3611468.0300000003</c:v>
                </c:pt>
                <c:pt idx="17">
                  <c:v>3611468.0300000003</c:v>
                </c:pt>
                <c:pt idx="18">
                  <c:v>3611468.0300000003</c:v>
                </c:pt>
                <c:pt idx="19">
                  <c:v>3620339.5300000003</c:v>
                </c:pt>
                <c:pt idx="20">
                  <c:v>3620339.5300000003</c:v>
                </c:pt>
                <c:pt idx="21">
                  <c:v>3620339.5300000003</c:v>
                </c:pt>
                <c:pt idx="22">
                  <c:v>3620339.5300000003</c:v>
                </c:pt>
                <c:pt idx="23">
                  <c:v>3620339.5300000003</c:v>
                </c:pt>
                <c:pt idx="24">
                  <c:v>3598550.5300000003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Sultana'!$I$9:$I$47</c:f>
              <c:numCache>
                <c:formatCode>#,##0</c:formatCode>
                <c:ptCount val="25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  <c:pt idx="7">
                  <c:v>2960925.87</c:v>
                </c:pt>
                <c:pt idx="8">
                  <c:v>2990825.87</c:v>
                </c:pt>
                <c:pt idx="9">
                  <c:v>3057241.87</c:v>
                </c:pt>
                <c:pt idx="10">
                  <c:v>3057601.87</c:v>
                </c:pt>
                <c:pt idx="11">
                  <c:v>3068125.37</c:v>
                </c:pt>
                <c:pt idx="12">
                  <c:v>3085675.87</c:v>
                </c:pt>
                <c:pt idx="13">
                  <c:v>3086210.37</c:v>
                </c:pt>
                <c:pt idx="14">
                  <c:v>3115190.37</c:v>
                </c:pt>
                <c:pt idx="15">
                  <c:v>3115190.37</c:v>
                </c:pt>
                <c:pt idx="16">
                  <c:v>3115190.37</c:v>
                </c:pt>
                <c:pt idx="17">
                  <c:v>3115190.37</c:v>
                </c:pt>
                <c:pt idx="18">
                  <c:v>3115190.37</c:v>
                </c:pt>
                <c:pt idx="19">
                  <c:v>3115190.37</c:v>
                </c:pt>
                <c:pt idx="20">
                  <c:v>3250840.38</c:v>
                </c:pt>
                <c:pt idx="21">
                  <c:v>3250840.38</c:v>
                </c:pt>
                <c:pt idx="22">
                  <c:v>3250840.38</c:v>
                </c:pt>
                <c:pt idx="23">
                  <c:v>3250840.38</c:v>
                </c:pt>
                <c:pt idx="24">
                  <c:v>3250840.38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Sultana'!$G$168:$G$206</c:f>
              <c:numCache>
                <c:formatCode>#,##0</c:formatCode>
                <c:ptCount val="25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  <c:pt idx="7">
                  <c:v>24735</c:v>
                </c:pt>
                <c:pt idx="8">
                  <c:v>24735</c:v>
                </c:pt>
                <c:pt idx="9">
                  <c:v>24735</c:v>
                </c:pt>
                <c:pt idx="10">
                  <c:v>24735</c:v>
                </c:pt>
                <c:pt idx="11">
                  <c:v>24735</c:v>
                </c:pt>
                <c:pt idx="12">
                  <c:v>24735</c:v>
                </c:pt>
                <c:pt idx="13">
                  <c:v>24735</c:v>
                </c:pt>
                <c:pt idx="14">
                  <c:v>24735</c:v>
                </c:pt>
                <c:pt idx="15">
                  <c:v>24735</c:v>
                </c:pt>
                <c:pt idx="16">
                  <c:v>24735</c:v>
                </c:pt>
                <c:pt idx="17">
                  <c:v>24735</c:v>
                </c:pt>
                <c:pt idx="18">
                  <c:v>24735</c:v>
                </c:pt>
                <c:pt idx="19">
                  <c:v>24735</c:v>
                </c:pt>
                <c:pt idx="20">
                  <c:v>24735</c:v>
                </c:pt>
                <c:pt idx="21">
                  <c:v>24735</c:v>
                </c:pt>
                <c:pt idx="22">
                  <c:v>24735</c:v>
                </c:pt>
                <c:pt idx="23">
                  <c:v>24735</c:v>
                </c:pt>
                <c:pt idx="24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Sultana'!$I$168:$I$206</c:f>
              <c:numCache>
                <c:formatCode>#,##0</c:formatCode>
                <c:ptCount val="25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  <c:pt idx="7">
                  <c:v>5891</c:v>
                </c:pt>
                <c:pt idx="8">
                  <c:v>5891</c:v>
                </c:pt>
                <c:pt idx="9">
                  <c:v>5891</c:v>
                </c:pt>
                <c:pt idx="10">
                  <c:v>5891</c:v>
                </c:pt>
                <c:pt idx="11">
                  <c:v>5891</c:v>
                </c:pt>
                <c:pt idx="12">
                  <c:v>5891</c:v>
                </c:pt>
                <c:pt idx="13">
                  <c:v>5891</c:v>
                </c:pt>
                <c:pt idx="14">
                  <c:v>5891</c:v>
                </c:pt>
                <c:pt idx="15">
                  <c:v>5891</c:v>
                </c:pt>
                <c:pt idx="16">
                  <c:v>5891</c:v>
                </c:pt>
                <c:pt idx="17">
                  <c:v>5891</c:v>
                </c:pt>
                <c:pt idx="18">
                  <c:v>5891</c:v>
                </c:pt>
                <c:pt idx="19">
                  <c:v>5891</c:v>
                </c:pt>
                <c:pt idx="20">
                  <c:v>5891</c:v>
                </c:pt>
                <c:pt idx="21">
                  <c:v>5891</c:v>
                </c:pt>
                <c:pt idx="22">
                  <c:v>5891</c:v>
                </c:pt>
                <c:pt idx="23">
                  <c:v>5891</c:v>
                </c:pt>
                <c:pt idx="24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Raisins'!$G$115:$G$153</c:f>
              <c:numCache>
                <c:formatCode>#,##0</c:formatCode>
                <c:ptCount val="25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  <c:pt idx="7">
                  <c:v>9662086.0199999996</c:v>
                </c:pt>
                <c:pt idx="8">
                  <c:v>12193664.68</c:v>
                </c:pt>
                <c:pt idx="9">
                  <c:v>14257466.869999999</c:v>
                </c:pt>
                <c:pt idx="10">
                  <c:v>14677286.43</c:v>
                </c:pt>
                <c:pt idx="11">
                  <c:v>15271920.93</c:v>
                </c:pt>
                <c:pt idx="12">
                  <c:v>15945127.5</c:v>
                </c:pt>
                <c:pt idx="13">
                  <c:v>16344338.109999999</c:v>
                </c:pt>
                <c:pt idx="14">
                  <c:v>16601375.649999999</c:v>
                </c:pt>
                <c:pt idx="15">
                  <c:v>16849346.149999999</c:v>
                </c:pt>
                <c:pt idx="16">
                  <c:v>16857678.149999999</c:v>
                </c:pt>
                <c:pt idx="17">
                  <c:v>16865706.399999999</c:v>
                </c:pt>
                <c:pt idx="18">
                  <c:v>17041717.91</c:v>
                </c:pt>
                <c:pt idx="19">
                  <c:v>17071012.399999999</c:v>
                </c:pt>
                <c:pt idx="20">
                  <c:v>17071012.399999999</c:v>
                </c:pt>
                <c:pt idx="21">
                  <c:v>17071012.399999999</c:v>
                </c:pt>
                <c:pt idx="22">
                  <c:v>17071012.399999999</c:v>
                </c:pt>
                <c:pt idx="23">
                  <c:v>17071012.399999999</c:v>
                </c:pt>
                <c:pt idx="24">
                  <c:v>18194600.399999999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Raisins'!$I$115:$I$153</c:f>
              <c:numCache>
                <c:formatCode>#,##0</c:formatCode>
                <c:ptCount val="25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  <c:pt idx="7">
                  <c:v>8778584.4299999997</c:v>
                </c:pt>
                <c:pt idx="8">
                  <c:v>10861599.07</c:v>
                </c:pt>
                <c:pt idx="9">
                  <c:v>11989478.32</c:v>
                </c:pt>
                <c:pt idx="10">
                  <c:v>12685657.370000001</c:v>
                </c:pt>
                <c:pt idx="11">
                  <c:v>13388381.9</c:v>
                </c:pt>
                <c:pt idx="12">
                  <c:v>13896491.91</c:v>
                </c:pt>
                <c:pt idx="13">
                  <c:v>14604785.960000001</c:v>
                </c:pt>
                <c:pt idx="14">
                  <c:v>15073565.030000001</c:v>
                </c:pt>
                <c:pt idx="15">
                  <c:v>15429141.560000001</c:v>
                </c:pt>
                <c:pt idx="16">
                  <c:v>15618145.6</c:v>
                </c:pt>
                <c:pt idx="17">
                  <c:v>15658543.109999999</c:v>
                </c:pt>
                <c:pt idx="18">
                  <c:v>15686134.609999999</c:v>
                </c:pt>
                <c:pt idx="19">
                  <c:v>15686134.609999999</c:v>
                </c:pt>
                <c:pt idx="20">
                  <c:v>15969967.629999999</c:v>
                </c:pt>
                <c:pt idx="21">
                  <c:v>15969967.629999999</c:v>
                </c:pt>
                <c:pt idx="22">
                  <c:v>15969967.629999999</c:v>
                </c:pt>
                <c:pt idx="23">
                  <c:v>15969967.629999999</c:v>
                </c:pt>
                <c:pt idx="24">
                  <c:v>15969967.629999999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Raisins'!$L$115:$L$153</c:f>
              <c:numCache>
                <c:formatCode>#,##0</c:formatCode>
                <c:ptCount val="25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  <c:pt idx="7">
                  <c:v>8698115.9000000004</c:v>
                </c:pt>
                <c:pt idx="8">
                  <c:v>10116833.779999999</c:v>
                </c:pt>
                <c:pt idx="9">
                  <c:v>10889248.359999999</c:v>
                </c:pt>
                <c:pt idx="10">
                  <c:v>11508886.210000001</c:v>
                </c:pt>
                <c:pt idx="11">
                  <c:v>12160668.880000001</c:v>
                </c:pt>
                <c:pt idx="12">
                  <c:v>12589803.550000001</c:v>
                </c:pt>
                <c:pt idx="13">
                  <c:v>13029056.74</c:v>
                </c:pt>
                <c:pt idx="14">
                  <c:v>13228146.76</c:v>
                </c:pt>
                <c:pt idx="15">
                  <c:v>13405002.109999999</c:v>
                </c:pt>
                <c:pt idx="16">
                  <c:v>13665925.289999999</c:v>
                </c:pt>
                <c:pt idx="17">
                  <c:v>13872401.619999999</c:v>
                </c:pt>
                <c:pt idx="18">
                  <c:v>13990277.960000001</c:v>
                </c:pt>
                <c:pt idx="19">
                  <c:v>13990277.960000001</c:v>
                </c:pt>
                <c:pt idx="20">
                  <c:v>14455348.609999999</c:v>
                </c:pt>
                <c:pt idx="21">
                  <c:v>14455348.609999999</c:v>
                </c:pt>
                <c:pt idx="22">
                  <c:v>14455348.609999999</c:v>
                </c:pt>
                <c:pt idx="23">
                  <c:v>14455348.609999999</c:v>
                </c:pt>
                <c:pt idx="24">
                  <c:v>14455348.609999999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Sultana'!$G$62:$G$100</c:f>
              <c:numCache>
                <c:formatCode>#,##0</c:formatCode>
                <c:ptCount val="25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  <c:pt idx="7">
                  <c:v>3398350.0300000003</c:v>
                </c:pt>
                <c:pt idx="8">
                  <c:v>3503744.5300000003</c:v>
                </c:pt>
                <c:pt idx="9">
                  <c:v>3532242.0300000003</c:v>
                </c:pt>
                <c:pt idx="10">
                  <c:v>3533137.0300000003</c:v>
                </c:pt>
                <c:pt idx="11">
                  <c:v>3537637.0300000003</c:v>
                </c:pt>
                <c:pt idx="12">
                  <c:v>3572405.0300000003</c:v>
                </c:pt>
                <c:pt idx="13">
                  <c:v>3573284.0300000003</c:v>
                </c:pt>
                <c:pt idx="14">
                  <c:v>3573512.0300000003</c:v>
                </c:pt>
                <c:pt idx="15">
                  <c:v>3583548.5300000003</c:v>
                </c:pt>
                <c:pt idx="16">
                  <c:v>3583548.5300000003</c:v>
                </c:pt>
                <c:pt idx="17">
                  <c:v>3583548.5300000003</c:v>
                </c:pt>
                <c:pt idx="18">
                  <c:v>3583548.5300000003</c:v>
                </c:pt>
                <c:pt idx="19">
                  <c:v>3592420.0300000003</c:v>
                </c:pt>
                <c:pt idx="20">
                  <c:v>3592420.0300000003</c:v>
                </c:pt>
                <c:pt idx="21">
                  <c:v>3592420.0300000003</c:v>
                </c:pt>
                <c:pt idx="22">
                  <c:v>3592420.0300000003</c:v>
                </c:pt>
                <c:pt idx="23">
                  <c:v>3592420.0300000003</c:v>
                </c:pt>
                <c:pt idx="24">
                  <c:v>3570631.0300000003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Sultana'!$I$62:$I$100</c:f>
              <c:numCache>
                <c:formatCode>#,##0</c:formatCode>
                <c:ptCount val="25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  <c:pt idx="7">
                  <c:v>2955034.87</c:v>
                </c:pt>
                <c:pt idx="8">
                  <c:v>2984934.87</c:v>
                </c:pt>
                <c:pt idx="9">
                  <c:v>3051350.87</c:v>
                </c:pt>
                <c:pt idx="10">
                  <c:v>3051710.87</c:v>
                </c:pt>
                <c:pt idx="11">
                  <c:v>3062234.37</c:v>
                </c:pt>
                <c:pt idx="12">
                  <c:v>3079784.87</c:v>
                </c:pt>
                <c:pt idx="13">
                  <c:v>3080319.37</c:v>
                </c:pt>
                <c:pt idx="14">
                  <c:v>3109299.37</c:v>
                </c:pt>
                <c:pt idx="15">
                  <c:v>3109299.37</c:v>
                </c:pt>
                <c:pt idx="16">
                  <c:v>3109299.37</c:v>
                </c:pt>
                <c:pt idx="17">
                  <c:v>3109299.37</c:v>
                </c:pt>
                <c:pt idx="18">
                  <c:v>3109299.37</c:v>
                </c:pt>
                <c:pt idx="19">
                  <c:v>3109299.37</c:v>
                </c:pt>
                <c:pt idx="20">
                  <c:v>3244949.38</c:v>
                </c:pt>
                <c:pt idx="21">
                  <c:v>3244949.38</c:v>
                </c:pt>
                <c:pt idx="22">
                  <c:v>3244949.38</c:v>
                </c:pt>
                <c:pt idx="23">
                  <c:v>3244949.38</c:v>
                </c:pt>
                <c:pt idx="24">
                  <c:v>3244949.38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Sultana'!$G$115:$G$153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  <c:pt idx="7">
                  <c:v>3184.5</c:v>
                </c:pt>
                <c:pt idx="8">
                  <c:v>3184.5</c:v>
                </c:pt>
                <c:pt idx="9">
                  <c:v>3184.5</c:v>
                </c:pt>
                <c:pt idx="10">
                  <c:v>3184.5</c:v>
                </c:pt>
                <c:pt idx="11">
                  <c:v>3184.5</c:v>
                </c:pt>
                <c:pt idx="12">
                  <c:v>3184.5</c:v>
                </c:pt>
                <c:pt idx="13">
                  <c:v>3184.5</c:v>
                </c:pt>
                <c:pt idx="14">
                  <c:v>3184.5</c:v>
                </c:pt>
                <c:pt idx="15">
                  <c:v>3184.5</c:v>
                </c:pt>
                <c:pt idx="16">
                  <c:v>3184.5</c:v>
                </c:pt>
                <c:pt idx="17">
                  <c:v>3184.5</c:v>
                </c:pt>
                <c:pt idx="18">
                  <c:v>3184.5</c:v>
                </c:pt>
                <c:pt idx="19">
                  <c:v>3184.5</c:v>
                </c:pt>
                <c:pt idx="20">
                  <c:v>3184.5</c:v>
                </c:pt>
                <c:pt idx="21">
                  <c:v>3184.5</c:v>
                </c:pt>
                <c:pt idx="22">
                  <c:v>3184.5</c:v>
                </c:pt>
                <c:pt idx="23">
                  <c:v>3184.5</c:v>
                </c:pt>
                <c:pt idx="24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'OR Sultana'!$I$115:$I$153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Goldens!$G$9:$G$47</c:f>
              <c:numCache>
                <c:formatCode>#,##0</c:formatCode>
                <c:ptCount val="25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  <c:pt idx="7">
                  <c:v>7927122.3999999985</c:v>
                </c:pt>
                <c:pt idx="8">
                  <c:v>10512370.949999999</c:v>
                </c:pt>
                <c:pt idx="9">
                  <c:v>11962636</c:v>
                </c:pt>
                <c:pt idx="10">
                  <c:v>12324252.5</c:v>
                </c:pt>
                <c:pt idx="11">
                  <c:v>12961189.5</c:v>
                </c:pt>
                <c:pt idx="12">
                  <c:v>13793906</c:v>
                </c:pt>
                <c:pt idx="13">
                  <c:v>14291543.5</c:v>
                </c:pt>
                <c:pt idx="14">
                  <c:v>14605801</c:v>
                </c:pt>
                <c:pt idx="15">
                  <c:v>14938891</c:v>
                </c:pt>
                <c:pt idx="16">
                  <c:v>15033808.5</c:v>
                </c:pt>
                <c:pt idx="17">
                  <c:v>15392438</c:v>
                </c:pt>
                <c:pt idx="18">
                  <c:v>15863152</c:v>
                </c:pt>
                <c:pt idx="19">
                  <c:v>16408496</c:v>
                </c:pt>
                <c:pt idx="20">
                  <c:v>16623248.300000001</c:v>
                </c:pt>
                <c:pt idx="21">
                  <c:v>16891991</c:v>
                </c:pt>
                <c:pt idx="22">
                  <c:v>16892119.5</c:v>
                </c:pt>
                <c:pt idx="23">
                  <c:v>16892119.5</c:v>
                </c:pt>
                <c:pt idx="24">
                  <c:v>16921847.5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Goldens!$I$9:$I$47</c:f>
              <c:numCache>
                <c:formatCode>#,##0</c:formatCode>
                <c:ptCount val="25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  <c:pt idx="7">
                  <c:v>6971679.6600000001</c:v>
                </c:pt>
                <c:pt idx="8">
                  <c:v>7754546.1699999999</c:v>
                </c:pt>
                <c:pt idx="9">
                  <c:v>8422839.4199999999</c:v>
                </c:pt>
                <c:pt idx="10">
                  <c:v>9718053.9199999999</c:v>
                </c:pt>
                <c:pt idx="11">
                  <c:v>10455439.67</c:v>
                </c:pt>
                <c:pt idx="12">
                  <c:v>11279358.67</c:v>
                </c:pt>
                <c:pt idx="13">
                  <c:v>12039015.67</c:v>
                </c:pt>
                <c:pt idx="14">
                  <c:v>13036512.42</c:v>
                </c:pt>
                <c:pt idx="15">
                  <c:v>13592406.67</c:v>
                </c:pt>
                <c:pt idx="16">
                  <c:v>14486076.210000001</c:v>
                </c:pt>
                <c:pt idx="17">
                  <c:v>14870169.470000001</c:v>
                </c:pt>
                <c:pt idx="18">
                  <c:v>15147918.190000001</c:v>
                </c:pt>
                <c:pt idx="19">
                  <c:v>15237922.720000001</c:v>
                </c:pt>
                <c:pt idx="20">
                  <c:v>15336575.210000001</c:v>
                </c:pt>
                <c:pt idx="21">
                  <c:v>15336575.210000001</c:v>
                </c:pt>
                <c:pt idx="22">
                  <c:v>15336575.210000001</c:v>
                </c:pt>
                <c:pt idx="23">
                  <c:v>15336575.210000001</c:v>
                </c:pt>
                <c:pt idx="24">
                  <c:v>15336575.210000001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Goldens!$G$62:$G$100</c:f>
              <c:numCache>
                <c:formatCode>#,##0</c:formatCode>
                <c:ptCount val="25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  <c:pt idx="7">
                  <c:v>7281696.2200000007</c:v>
                </c:pt>
                <c:pt idx="8">
                  <c:v>9863167.2600000016</c:v>
                </c:pt>
                <c:pt idx="9">
                  <c:v>11311368.310000002</c:v>
                </c:pt>
                <c:pt idx="10">
                  <c:v>11665160.810000002</c:v>
                </c:pt>
                <c:pt idx="11">
                  <c:v>12302097.810000002</c:v>
                </c:pt>
                <c:pt idx="12">
                  <c:v>13134814.310000002</c:v>
                </c:pt>
                <c:pt idx="13">
                  <c:v>13632451.810000002</c:v>
                </c:pt>
                <c:pt idx="14">
                  <c:v>13946709.310000002</c:v>
                </c:pt>
                <c:pt idx="15">
                  <c:v>14264242.310000002</c:v>
                </c:pt>
                <c:pt idx="16">
                  <c:v>14359159.810000002</c:v>
                </c:pt>
                <c:pt idx="17">
                  <c:v>14717789.310000002</c:v>
                </c:pt>
                <c:pt idx="18">
                  <c:v>15188503.310000002</c:v>
                </c:pt>
                <c:pt idx="19">
                  <c:v>15733847.310000002</c:v>
                </c:pt>
                <c:pt idx="20">
                  <c:v>15948599.610000003</c:v>
                </c:pt>
                <c:pt idx="21">
                  <c:v>16217342.310000002</c:v>
                </c:pt>
                <c:pt idx="22">
                  <c:v>16217470.810000002</c:v>
                </c:pt>
                <c:pt idx="23">
                  <c:v>16217470.810000002</c:v>
                </c:pt>
                <c:pt idx="24">
                  <c:v>16247198.810000002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Goldens!$I$62:$I$100</c:f>
              <c:numCache>
                <c:formatCode>#,##0</c:formatCode>
                <c:ptCount val="25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  <c:pt idx="7">
                  <c:v>6402161.5899999999</c:v>
                </c:pt>
                <c:pt idx="8">
                  <c:v>7177837.0999999996</c:v>
                </c:pt>
                <c:pt idx="9">
                  <c:v>7846130.3499999996</c:v>
                </c:pt>
                <c:pt idx="10">
                  <c:v>9141344.8499999996</c:v>
                </c:pt>
                <c:pt idx="11">
                  <c:v>9878730.5999999996</c:v>
                </c:pt>
                <c:pt idx="12">
                  <c:v>10702649.6</c:v>
                </c:pt>
                <c:pt idx="13">
                  <c:v>11462306.6</c:v>
                </c:pt>
                <c:pt idx="14">
                  <c:v>12459803.35</c:v>
                </c:pt>
                <c:pt idx="15">
                  <c:v>13015697.6</c:v>
                </c:pt>
                <c:pt idx="16">
                  <c:v>13909367.140000001</c:v>
                </c:pt>
                <c:pt idx="17">
                  <c:v>14293460.4</c:v>
                </c:pt>
                <c:pt idx="18">
                  <c:v>14571209.120000001</c:v>
                </c:pt>
                <c:pt idx="19">
                  <c:v>14661213.65</c:v>
                </c:pt>
                <c:pt idx="20">
                  <c:v>14759866.140000001</c:v>
                </c:pt>
                <c:pt idx="21">
                  <c:v>14759866.140000001</c:v>
                </c:pt>
                <c:pt idx="22">
                  <c:v>14759866.140000001</c:v>
                </c:pt>
                <c:pt idx="23">
                  <c:v>14759866.140000001</c:v>
                </c:pt>
                <c:pt idx="24">
                  <c:v>14759866.140000001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Goldens!$G$115:$G$153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2064</c:v>
                </c:pt>
                <c:pt idx="10">
                  <c:v>3803</c:v>
                </c:pt>
                <c:pt idx="11">
                  <c:v>3803</c:v>
                </c:pt>
                <c:pt idx="12">
                  <c:v>3803</c:v>
                </c:pt>
                <c:pt idx="13">
                  <c:v>3803</c:v>
                </c:pt>
                <c:pt idx="14">
                  <c:v>3803</c:v>
                </c:pt>
                <c:pt idx="15">
                  <c:v>19360</c:v>
                </c:pt>
                <c:pt idx="16">
                  <c:v>19360</c:v>
                </c:pt>
                <c:pt idx="17">
                  <c:v>19360</c:v>
                </c:pt>
                <c:pt idx="18">
                  <c:v>19360</c:v>
                </c:pt>
                <c:pt idx="19">
                  <c:v>19360</c:v>
                </c:pt>
                <c:pt idx="20">
                  <c:v>19360</c:v>
                </c:pt>
                <c:pt idx="21">
                  <c:v>19360</c:v>
                </c:pt>
                <c:pt idx="22">
                  <c:v>19360</c:v>
                </c:pt>
                <c:pt idx="23">
                  <c:v>19360</c:v>
                </c:pt>
                <c:pt idx="24">
                  <c:v>19360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Goldens!$I$115:$I$153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Goldens!$B$168:$B$206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</c:numCache>
            </c:numRef>
          </c:cat>
          <c:val>
            <c:numRef>
              <c:f>Goldens!$G$168:$G$206</c:f>
              <c:numCache>
                <c:formatCode>#,##0</c:formatCode>
                <c:ptCount val="24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  <c:pt idx="7">
                  <c:v>645426.18000000005</c:v>
                </c:pt>
                <c:pt idx="8">
                  <c:v>649203.69000000006</c:v>
                </c:pt>
                <c:pt idx="9">
                  <c:v>649203.69000000006</c:v>
                </c:pt>
                <c:pt idx="10">
                  <c:v>655288.69000000006</c:v>
                </c:pt>
                <c:pt idx="11">
                  <c:v>655288.69000000006</c:v>
                </c:pt>
                <c:pt idx="12">
                  <c:v>655288.69000000006</c:v>
                </c:pt>
                <c:pt idx="13">
                  <c:v>655288.69000000006</c:v>
                </c:pt>
                <c:pt idx="14">
                  <c:v>655288.69000000006</c:v>
                </c:pt>
                <c:pt idx="15">
                  <c:v>655288.69000000006</c:v>
                </c:pt>
                <c:pt idx="16">
                  <c:v>655288.69000000006</c:v>
                </c:pt>
                <c:pt idx="17">
                  <c:v>655288.69000000006</c:v>
                </c:pt>
                <c:pt idx="18">
                  <c:v>655288.69000000006</c:v>
                </c:pt>
                <c:pt idx="19">
                  <c:v>655288.69000000006</c:v>
                </c:pt>
                <c:pt idx="20">
                  <c:v>655288.69000000006</c:v>
                </c:pt>
                <c:pt idx="21">
                  <c:v>655288.69000000006</c:v>
                </c:pt>
                <c:pt idx="22">
                  <c:v>655288.69000000006</c:v>
                </c:pt>
                <c:pt idx="23">
                  <c:v>655288.69000000006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Goldens!$B$168:$B$206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</c:numCache>
            </c:numRef>
          </c:cat>
          <c:val>
            <c:numRef>
              <c:f>Goldens!$I$168:$I$206</c:f>
              <c:numCache>
                <c:formatCode>#,##0</c:formatCode>
                <c:ptCount val="24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  <c:pt idx="7">
                  <c:v>569518.07000000007</c:v>
                </c:pt>
                <c:pt idx="8">
                  <c:v>576709.07000000007</c:v>
                </c:pt>
                <c:pt idx="9">
                  <c:v>576709.06999999995</c:v>
                </c:pt>
                <c:pt idx="10">
                  <c:v>576709.06999999995</c:v>
                </c:pt>
                <c:pt idx="11">
                  <c:v>576709.06999999995</c:v>
                </c:pt>
                <c:pt idx="12">
                  <c:v>576709.06999999995</c:v>
                </c:pt>
                <c:pt idx="13">
                  <c:v>576709.06999999995</c:v>
                </c:pt>
                <c:pt idx="14">
                  <c:v>576709.06999999995</c:v>
                </c:pt>
                <c:pt idx="15">
                  <c:v>576709.06999999995</c:v>
                </c:pt>
                <c:pt idx="16">
                  <c:v>576709.06999999995</c:v>
                </c:pt>
                <c:pt idx="17">
                  <c:v>576709.06999999995</c:v>
                </c:pt>
                <c:pt idx="18">
                  <c:v>576709.06999999995</c:v>
                </c:pt>
                <c:pt idx="19">
                  <c:v>576709.06999999995</c:v>
                </c:pt>
                <c:pt idx="20">
                  <c:v>576709.06999999995</c:v>
                </c:pt>
                <c:pt idx="21">
                  <c:v>576709.06999999995</c:v>
                </c:pt>
                <c:pt idx="22">
                  <c:v>576709.06999999995</c:v>
                </c:pt>
                <c:pt idx="23">
                  <c:v>576709.06999999995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Currants!$G$9:$G$47</c:f>
              <c:numCache>
                <c:formatCode>#,##0</c:formatCode>
                <c:ptCount val="25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  <c:pt idx="7">
                  <c:v>2637525.4</c:v>
                </c:pt>
                <c:pt idx="8">
                  <c:v>2909759.4</c:v>
                </c:pt>
                <c:pt idx="9">
                  <c:v>3052902.3999999999</c:v>
                </c:pt>
                <c:pt idx="10">
                  <c:v>3132523.4</c:v>
                </c:pt>
                <c:pt idx="11">
                  <c:v>3180393.4</c:v>
                </c:pt>
                <c:pt idx="12">
                  <c:v>3261823.9</c:v>
                </c:pt>
                <c:pt idx="13">
                  <c:v>3261823.9</c:v>
                </c:pt>
                <c:pt idx="14">
                  <c:v>3261823.9</c:v>
                </c:pt>
                <c:pt idx="15">
                  <c:v>3261823.9</c:v>
                </c:pt>
                <c:pt idx="16">
                  <c:v>3261823.9</c:v>
                </c:pt>
                <c:pt idx="17">
                  <c:v>3261823.9</c:v>
                </c:pt>
                <c:pt idx="18">
                  <c:v>3263308.4</c:v>
                </c:pt>
                <c:pt idx="19">
                  <c:v>3263308.4</c:v>
                </c:pt>
                <c:pt idx="20">
                  <c:v>3263308.4</c:v>
                </c:pt>
                <c:pt idx="21">
                  <c:v>3263308.4</c:v>
                </c:pt>
                <c:pt idx="22">
                  <c:v>3263308.4</c:v>
                </c:pt>
                <c:pt idx="23">
                  <c:v>3263308.4</c:v>
                </c:pt>
                <c:pt idx="24">
                  <c:v>3544809.4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Currants!$I$9:$I$47</c:f>
              <c:numCache>
                <c:formatCode>#,##0</c:formatCode>
                <c:ptCount val="25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  <c:pt idx="13">
                  <c:v>3885150</c:v>
                </c:pt>
                <c:pt idx="14">
                  <c:v>3954562</c:v>
                </c:pt>
                <c:pt idx="15">
                  <c:v>3957526</c:v>
                </c:pt>
                <c:pt idx="16">
                  <c:v>3957741</c:v>
                </c:pt>
                <c:pt idx="17">
                  <c:v>3963689</c:v>
                </c:pt>
                <c:pt idx="18">
                  <c:v>3973679.5</c:v>
                </c:pt>
                <c:pt idx="19">
                  <c:v>3973679.5</c:v>
                </c:pt>
                <c:pt idx="20">
                  <c:v>4255050.5199999996</c:v>
                </c:pt>
                <c:pt idx="21">
                  <c:v>4255050.5199999996</c:v>
                </c:pt>
                <c:pt idx="22">
                  <c:v>4255050.5199999996</c:v>
                </c:pt>
                <c:pt idx="23">
                  <c:v>4255050.5199999996</c:v>
                </c:pt>
                <c:pt idx="24">
                  <c:v>4255050.5199999996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Currants!$G$62:$G$100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  <c:pt idx="7">
                  <c:v>32805.9</c:v>
                </c:pt>
                <c:pt idx="8">
                  <c:v>32805.9</c:v>
                </c:pt>
                <c:pt idx="9">
                  <c:v>32805.9</c:v>
                </c:pt>
                <c:pt idx="10">
                  <c:v>32805.9</c:v>
                </c:pt>
                <c:pt idx="11">
                  <c:v>32805.9</c:v>
                </c:pt>
                <c:pt idx="12">
                  <c:v>32805.9</c:v>
                </c:pt>
                <c:pt idx="13">
                  <c:v>32805.9</c:v>
                </c:pt>
                <c:pt idx="14">
                  <c:v>32805.9</c:v>
                </c:pt>
                <c:pt idx="15">
                  <c:v>32805.9</c:v>
                </c:pt>
                <c:pt idx="16">
                  <c:v>32805.9</c:v>
                </c:pt>
                <c:pt idx="17">
                  <c:v>32805.9</c:v>
                </c:pt>
                <c:pt idx="18">
                  <c:v>32805.9</c:v>
                </c:pt>
                <c:pt idx="19">
                  <c:v>32805.9</c:v>
                </c:pt>
                <c:pt idx="20">
                  <c:v>32805.9</c:v>
                </c:pt>
                <c:pt idx="21">
                  <c:v>32805.9</c:v>
                </c:pt>
                <c:pt idx="22">
                  <c:v>32805.9</c:v>
                </c:pt>
                <c:pt idx="23">
                  <c:v>32805.9</c:v>
                </c:pt>
                <c:pt idx="24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Currants!$I$62:$I$100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Currants!$G$115:$G$153</c:f>
              <c:numCache>
                <c:formatCode>#,##0</c:formatCode>
                <c:ptCount val="25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  <c:pt idx="7">
                  <c:v>2604719.5</c:v>
                </c:pt>
                <c:pt idx="8">
                  <c:v>2876953.5</c:v>
                </c:pt>
                <c:pt idx="9">
                  <c:v>3020096.5</c:v>
                </c:pt>
                <c:pt idx="10">
                  <c:v>3099717.5</c:v>
                </c:pt>
                <c:pt idx="11">
                  <c:v>3147587.5</c:v>
                </c:pt>
                <c:pt idx="12">
                  <c:v>3229018</c:v>
                </c:pt>
                <c:pt idx="13">
                  <c:v>3229018</c:v>
                </c:pt>
                <c:pt idx="14">
                  <c:v>3229018</c:v>
                </c:pt>
                <c:pt idx="15">
                  <c:v>3229018</c:v>
                </c:pt>
                <c:pt idx="16">
                  <c:v>3229018</c:v>
                </c:pt>
                <c:pt idx="17">
                  <c:v>3229018</c:v>
                </c:pt>
                <c:pt idx="18">
                  <c:v>3230502.5</c:v>
                </c:pt>
                <c:pt idx="19">
                  <c:v>3230502.5</c:v>
                </c:pt>
                <c:pt idx="20">
                  <c:v>3230502.5</c:v>
                </c:pt>
                <c:pt idx="21">
                  <c:v>3230502.5</c:v>
                </c:pt>
                <c:pt idx="22">
                  <c:v>3230502.5</c:v>
                </c:pt>
                <c:pt idx="23">
                  <c:v>3230502.5</c:v>
                </c:pt>
                <c:pt idx="24">
                  <c:v>3512003.5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Currants!$I$115:$I$153</c:f>
              <c:numCache>
                <c:formatCode>#,##0</c:formatCode>
                <c:ptCount val="25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  <c:pt idx="13">
                  <c:v>3885150</c:v>
                </c:pt>
                <c:pt idx="14">
                  <c:v>3954562</c:v>
                </c:pt>
                <c:pt idx="15">
                  <c:v>3957526</c:v>
                </c:pt>
                <c:pt idx="16">
                  <c:v>3957741</c:v>
                </c:pt>
                <c:pt idx="17">
                  <c:v>3963689</c:v>
                </c:pt>
                <c:pt idx="18">
                  <c:v>3973679.5</c:v>
                </c:pt>
                <c:pt idx="19">
                  <c:v>3973679.5</c:v>
                </c:pt>
                <c:pt idx="20">
                  <c:v>4255050.5199999996</c:v>
                </c:pt>
                <c:pt idx="21">
                  <c:v>4255050.5199999996</c:v>
                </c:pt>
                <c:pt idx="22">
                  <c:v>4255050.5199999996</c:v>
                </c:pt>
                <c:pt idx="23">
                  <c:v>4255050.5199999996</c:v>
                </c:pt>
                <c:pt idx="24">
                  <c:v>4255050.5199999996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Currants!$G$168:$G$206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Currants!$I$168:$I$206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Raisins'!$B$168:$B$172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Raisins'!$G$168:$G$172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Raisins'!$B$168:$B$172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Raisins'!$I$168:$I$172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Raisins'!$B$168:$B$172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Raisins'!$L$168:$L$172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Other!$G$9:$G$47</c:f>
              <c:numCache>
                <c:formatCode>#,##0</c:formatCode>
                <c:ptCount val="25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1270280.7600000002</c:v>
                </c:pt>
                <c:pt idx="7">
                  <c:v>1436862.2800000003</c:v>
                </c:pt>
                <c:pt idx="8">
                  <c:v>1636638.7800000003</c:v>
                </c:pt>
                <c:pt idx="9">
                  <c:v>1865570.7800000003</c:v>
                </c:pt>
                <c:pt idx="10">
                  <c:v>1909937.2900000003</c:v>
                </c:pt>
                <c:pt idx="11">
                  <c:v>2029361.2900000003</c:v>
                </c:pt>
                <c:pt idx="12">
                  <c:v>2111927.79</c:v>
                </c:pt>
                <c:pt idx="13">
                  <c:v>2173077.29</c:v>
                </c:pt>
                <c:pt idx="14">
                  <c:v>2215881.79</c:v>
                </c:pt>
                <c:pt idx="15">
                  <c:v>2265335.29</c:v>
                </c:pt>
                <c:pt idx="16">
                  <c:v>2286975.79</c:v>
                </c:pt>
                <c:pt idx="17">
                  <c:v>2310889.79</c:v>
                </c:pt>
                <c:pt idx="18">
                  <c:v>2406669.29</c:v>
                </c:pt>
                <c:pt idx="19">
                  <c:v>2528554.29</c:v>
                </c:pt>
                <c:pt idx="20">
                  <c:v>2535724.29</c:v>
                </c:pt>
                <c:pt idx="21">
                  <c:v>2562698.79</c:v>
                </c:pt>
                <c:pt idx="22">
                  <c:v>2563082.69</c:v>
                </c:pt>
                <c:pt idx="23">
                  <c:v>2597927.69</c:v>
                </c:pt>
                <c:pt idx="24">
                  <c:v>2654260.69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Other!$I$9:$I$47</c:f>
              <c:numCache>
                <c:formatCode>#,##0</c:formatCode>
                <c:ptCount val="25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  <c:pt idx="7">
                  <c:v>1716818.1000000003</c:v>
                </c:pt>
                <c:pt idx="8">
                  <c:v>2043468.3100000003</c:v>
                </c:pt>
                <c:pt idx="9">
                  <c:v>2132464.81</c:v>
                </c:pt>
                <c:pt idx="10">
                  <c:v>2257298.86</c:v>
                </c:pt>
                <c:pt idx="11">
                  <c:v>2468845.38</c:v>
                </c:pt>
                <c:pt idx="12">
                  <c:v>2562917.65</c:v>
                </c:pt>
                <c:pt idx="13">
                  <c:v>2597322.16</c:v>
                </c:pt>
                <c:pt idx="14">
                  <c:v>2706806.67</c:v>
                </c:pt>
                <c:pt idx="15">
                  <c:v>2742180.17</c:v>
                </c:pt>
                <c:pt idx="16">
                  <c:v>2820507.19</c:v>
                </c:pt>
                <c:pt idx="17">
                  <c:v>2833035.69</c:v>
                </c:pt>
                <c:pt idx="18">
                  <c:v>2833343.69</c:v>
                </c:pt>
                <c:pt idx="19">
                  <c:v>2833343.69</c:v>
                </c:pt>
                <c:pt idx="20">
                  <c:v>2641992.69</c:v>
                </c:pt>
                <c:pt idx="21">
                  <c:v>2641992.69</c:v>
                </c:pt>
                <c:pt idx="22">
                  <c:v>2641992.69</c:v>
                </c:pt>
                <c:pt idx="23">
                  <c:v>2641992.69</c:v>
                </c:pt>
                <c:pt idx="24">
                  <c:v>2641992.69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Other!$G$62:$G$100</c:f>
              <c:numCache>
                <c:formatCode>#,##0</c:formatCode>
                <c:ptCount val="25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1201023.6099999999</c:v>
                </c:pt>
                <c:pt idx="7">
                  <c:v>1362530.1199999999</c:v>
                </c:pt>
                <c:pt idx="8">
                  <c:v>1522675.6199999999</c:v>
                </c:pt>
                <c:pt idx="9">
                  <c:v>1727121.1199999999</c:v>
                </c:pt>
                <c:pt idx="10">
                  <c:v>1767387.63</c:v>
                </c:pt>
                <c:pt idx="11">
                  <c:v>1855491.13</c:v>
                </c:pt>
                <c:pt idx="12">
                  <c:v>1903382.13</c:v>
                </c:pt>
                <c:pt idx="13">
                  <c:v>1926245.13</c:v>
                </c:pt>
                <c:pt idx="14">
                  <c:v>1942932.63</c:v>
                </c:pt>
                <c:pt idx="15">
                  <c:v>1963459.13</c:v>
                </c:pt>
                <c:pt idx="16">
                  <c:v>1978048.13</c:v>
                </c:pt>
                <c:pt idx="17">
                  <c:v>2001962.13</c:v>
                </c:pt>
                <c:pt idx="18">
                  <c:v>2097741.63</c:v>
                </c:pt>
                <c:pt idx="19">
                  <c:v>2196334.13</c:v>
                </c:pt>
                <c:pt idx="20">
                  <c:v>2203504.13</c:v>
                </c:pt>
                <c:pt idx="21">
                  <c:v>2230478.63</c:v>
                </c:pt>
                <c:pt idx="22">
                  <c:v>2230862.5299999998</c:v>
                </c:pt>
                <c:pt idx="23">
                  <c:v>2265707.5299999998</c:v>
                </c:pt>
                <c:pt idx="24">
                  <c:v>2307082.0299999998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Other!$I$62:$I$100</c:f>
              <c:numCache>
                <c:formatCode>#,##0</c:formatCode>
                <c:ptCount val="25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  <c:pt idx="7">
                  <c:v>944600.8</c:v>
                </c:pt>
                <c:pt idx="8">
                  <c:v>1121729.8400000001</c:v>
                </c:pt>
                <c:pt idx="9">
                  <c:v>1204732.3400000001</c:v>
                </c:pt>
                <c:pt idx="10">
                  <c:v>1286608.8400000001</c:v>
                </c:pt>
                <c:pt idx="11">
                  <c:v>1485669.35</c:v>
                </c:pt>
                <c:pt idx="12">
                  <c:v>1578334.12</c:v>
                </c:pt>
                <c:pt idx="13">
                  <c:v>1589385.62</c:v>
                </c:pt>
                <c:pt idx="14">
                  <c:v>1641236.62</c:v>
                </c:pt>
                <c:pt idx="15">
                  <c:v>1647881.62</c:v>
                </c:pt>
                <c:pt idx="16">
                  <c:v>1678619.62</c:v>
                </c:pt>
                <c:pt idx="17">
                  <c:v>1687678.12</c:v>
                </c:pt>
                <c:pt idx="18">
                  <c:v>1687986.12</c:v>
                </c:pt>
                <c:pt idx="19">
                  <c:v>1687986.12</c:v>
                </c:pt>
                <c:pt idx="20">
                  <c:v>1496635.12</c:v>
                </c:pt>
                <c:pt idx="21">
                  <c:v>1496635.12</c:v>
                </c:pt>
                <c:pt idx="22">
                  <c:v>1496635.12</c:v>
                </c:pt>
                <c:pt idx="23">
                  <c:v>1496635.12</c:v>
                </c:pt>
                <c:pt idx="24">
                  <c:v>1496635.12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Other!$G$115:$G$153</c:f>
              <c:numCache>
                <c:formatCode>#,##0</c:formatCode>
                <c:ptCount val="25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  <c:pt idx="7">
                  <c:v>36808.050000000003</c:v>
                </c:pt>
                <c:pt idx="8">
                  <c:v>76439.05</c:v>
                </c:pt>
                <c:pt idx="9">
                  <c:v>100925.55</c:v>
                </c:pt>
                <c:pt idx="10">
                  <c:v>105025.55</c:v>
                </c:pt>
                <c:pt idx="11">
                  <c:v>136346.04999999999</c:v>
                </c:pt>
                <c:pt idx="12">
                  <c:v>171021.55</c:v>
                </c:pt>
                <c:pt idx="13">
                  <c:v>209308.05</c:v>
                </c:pt>
                <c:pt idx="14">
                  <c:v>235425.05</c:v>
                </c:pt>
                <c:pt idx="15">
                  <c:v>264352.05</c:v>
                </c:pt>
                <c:pt idx="16">
                  <c:v>271403.55</c:v>
                </c:pt>
                <c:pt idx="17">
                  <c:v>271403.55</c:v>
                </c:pt>
                <c:pt idx="18">
                  <c:v>271403.55</c:v>
                </c:pt>
                <c:pt idx="19">
                  <c:v>294696.05</c:v>
                </c:pt>
                <c:pt idx="20">
                  <c:v>294696.05</c:v>
                </c:pt>
                <c:pt idx="21">
                  <c:v>294696.05</c:v>
                </c:pt>
                <c:pt idx="22">
                  <c:v>294696.05</c:v>
                </c:pt>
                <c:pt idx="23">
                  <c:v>294696.05</c:v>
                </c:pt>
                <c:pt idx="24">
                  <c:v>309654.05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Other!$I$115:$I$153</c:f>
              <c:numCache>
                <c:formatCode>#,##0</c:formatCode>
                <c:ptCount val="25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  <c:pt idx="7">
                  <c:v>445060.81</c:v>
                </c:pt>
                <c:pt idx="8">
                  <c:v>501924.88</c:v>
                </c:pt>
                <c:pt idx="9">
                  <c:v>507918.88</c:v>
                </c:pt>
                <c:pt idx="10">
                  <c:v>550876.43000000005</c:v>
                </c:pt>
                <c:pt idx="11">
                  <c:v>563362.44000000006</c:v>
                </c:pt>
                <c:pt idx="12">
                  <c:v>564769.93999999994</c:v>
                </c:pt>
                <c:pt idx="13">
                  <c:v>588122.94999999995</c:v>
                </c:pt>
                <c:pt idx="14">
                  <c:v>645756.46</c:v>
                </c:pt>
                <c:pt idx="15">
                  <c:v>674484.96</c:v>
                </c:pt>
                <c:pt idx="16">
                  <c:v>716774.98</c:v>
                </c:pt>
                <c:pt idx="17">
                  <c:v>720244.98</c:v>
                </c:pt>
                <c:pt idx="18">
                  <c:v>720244.98</c:v>
                </c:pt>
                <c:pt idx="19">
                  <c:v>720244.98</c:v>
                </c:pt>
                <c:pt idx="20">
                  <c:v>720244.98</c:v>
                </c:pt>
                <c:pt idx="21">
                  <c:v>720244.98</c:v>
                </c:pt>
                <c:pt idx="22">
                  <c:v>720244.98</c:v>
                </c:pt>
                <c:pt idx="23">
                  <c:v>720244.98</c:v>
                </c:pt>
                <c:pt idx="24">
                  <c:v>720244.98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Other!$G$168:$G$206</c:f>
              <c:numCache>
                <c:formatCode>#,##0</c:formatCode>
                <c:ptCount val="25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  <c:pt idx="7">
                  <c:v>37524.11</c:v>
                </c:pt>
                <c:pt idx="8">
                  <c:v>37524.11</c:v>
                </c:pt>
                <c:pt idx="9">
                  <c:v>37524.11</c:v>
                </c:pt>
                <c:pt idx="10">
                  <c:v>37524.11</c:v>
                </c:pt>
                <c:pt idx="11">
                  <c:v>37524.11</c:v>
                </c:pt>
                <c:pt idx="12">
                  <c:v>37524.11</c:v>
                </c:pt>
                <c:pt idx="13">
                  <c:v>37524.11</c:v>
                </c:pt>
                <c:pt idx="14">
                  <c:v>37524.11</c:v>
                </c:pt>
                <c:pt idx="15">
                  <c:v>37524.11</c:v>
                </c:pt>
                <c:pt idx="16">
                  <c:v>37524.11</c:v>
                </c:pt>
                <c:pt idx="17">
                  <c:v>37524.11</c:v>
                </c:pt>
                <c:pt idx="18">
                  <c:v>37524.11</c:v>
                </c:pt>
                <c:pt idx="19">
                  <c:v>37524.11</c:v>
                </c:pt>
                <c:pt idx="20">
                  <c:v>37524.11</c:v>
                </c:pt>
                <c:pt idx="21">
                  <c:v>37524.11</c:v>
                </c:pt>
                <c:pt idx="22">
                  <c:v>37524.11</c:v>
                </c:pt>
                <c:pt idx="23">
                  <c:v>37524.11</c:v>
                </c:pt>
                <c:pt idx="24">
                  <c:v>37524.11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Other!$I$168:$I$206</c:f>
              <c:numCache>
                <c:formatCode>#,##0</c:formatCode>
                <c:ptCount val="25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  <c:pt idx="7">
                  <c:v>327156.49</c:v>
                </c:pt>
                <c:pt idx="8">
                  <c:v>419813.58999999997</c:v>
                </c:pt>
                <c:pt idx="9">
                  <c:v>419813.59</c:v>
                </c:pt>
                <c:pt idx="10">
                  <c:v>419813.59</c:v>
                </c:pt>
                <c:pt idx="11">
                  <c:v>419813.59</c:v>
                </c:pt>
                <c:pt idx="12">
                  <c:v>419813.59</c:v>
                </c:pt>
                <c:pt idx="13">
                  <c:v>419813.59</c:v>
                </c:pt>
                <c:pt idx="14">
                  <c:v>419813.59</c:v>
                </c:pt>
                <c:pt idx="15">
                  <c:v>419813.59</c:v>
                </c:pt>
                <c:pt idx="16">
                  <c:v>425112.59</c:v>
                </c:pt>
                <c:pt idx="17">
                  <c:v>425112.59</c:v>
                </c:pt>
                <c:pt idx="18">
                  <c:v>425112.59</c:v>
                </c:pt>
                <c:pt idx="19">
                  <c:v>425112.59</c:v>
                </c:pt>
                <c:pt idx="20">
                  <c:v>425112.59</c:v>
                </c:pt>
                <c:pt idx="21">
                  <c:v>425112.59</c:v>
                </c:pt>
                <c:pt idx="22">
                  <c:v>425112.59</c:v>
                </c:pt>
                <c:pt idx="23">
                  <c:v>425112.59</c:v>
                </c:pt>
                <c:pt idx="24">
                  <c:v>425112.59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Raisins'!$G$168:$G$206</c:f>
              <c:numCache>
                <c:formatCode>#,##0</c:formatCode>
                <c:ptCount val="2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  <c:pt idx="7">
                  <c:v>1777331.48</c:v>
                </c:pt>
                <c:pt idx="8">
                  <c:v>1830080.48</c:v>
                </c:pt>
                <c:pt idx="9">
                  <c:v>1877698.45</c:v>
                </c:pt>
                <c:pt idx="10">
                  <c:v>1954121.99</c:v>
                </c:pt>
                <c:pt idx="11">
                  <c:v>1981354.08</c:v>
                </c:pt>
                <c:pt idx="12">
                  <c:v>2002032.08</c:v>
                </c:pt>
                <c:pt idx="13">
                  <c:v>2002032.08</c:v>
                </c:pt>
                <c:pt idx="14">
                  <c:v>2002032.08</c:v>
                </c:pt>
                <c:pt idx="15">
                  <c:v>2002032.08</c:v>
                </c:pt>
                <c:pt idx="16">
                  <c:v>2002032.08</c:v>
                </c:pt>
                <c:pt idx="17">
                  <c:v>2002032.08</c:v>
                </c:pt>
                <c:pt idx="18">
                  <c:v>2002032.08</c:v>
                </c:pt>
                <c:pt idx="19">
                  <c:v>2002032.08</c:v>
                </c:pt>
                <c:pt idx="20">
                  <c:v>2002032.08</c:v>
                </c:pt>
                <c:pt idx="21">
                  <c:v>2002032.08</c:v>
                </c:pt>
                <c:pt idx="22">
                  <c:v>2002032.08</c:v>
                </c:pt>
                <c:pt idx="23">
                  <c:v>2002032.08</c:v>
                </c:pt>
                <c:pt idx="24">
                  <c:v>2002032.08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Raisins'!$I$168:$I$206</c:f>
              <c:numCache>
                <c:formatCode>#,##0</c:formatCode>
                <c:ptCount val="2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  <c:pt idx="7">
                  <c:v>1725971.1300000001</c:v>
                </c:pt>
                <c:pt idx="8">
                  <c:v>1915607.8</c:v>
                </c:pt>
                <c:pt idx="9">
                  <c:v>1915608</c:v>
                </c:pt>
                <c:pt idx="10">
                  <c:v>1915608</c:v>
                </c:pt>
                <c:pt idx="11">
                  <c:v>1915608</c:v>
                </c:pt>
                <c:pt idx="12">
                  <c:v>1923143.31</c:v>
                </c:pt>
                <c:pt idx="13">
                  <c:v>1935892.82</c:v>
                </c:pt>
                <c:pt idx="14">
                  <c:v>1935892.82</c:v>
                </c:pt>
                <c:pt idx="15">
                  <c:v>1954403.83</c:v>
                </c:pt>
                <c:pt idx="16">
                  <c:v>1976189.83</c:v>
                </c:pt>
                <c:pt idx="17">
                  <c:v>2000048.85</c:v>
                </c:pt>
                <c:pt idx="18">
                  <c:v>2000048.85</c:v>
                </c:pt>
                <c:pt idx="19">
                  <c:v>2000048.85</c:v>
                </c:pt>
                <c:pt idx="20">
                  <c:v>2000048.85</c:v>
                </c:pt>
                <c:pt idx="21">
                  <c:v>2000048.85</c:v>
                </c:pt>
                <c:pt idx="22">
                  <c:v>2000048.85</c:v>
                </c:pt>
                <c:pt idx="23">
                  <c:v>2000048.85</c:v>
                </c:pt>
                <c:pt idx="24">
                  <c:v>2000048.85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Raisins'!$L$168:$L$206</c:f>
              <c:numCache>
                <c:formatCode>#,##0</c:formatCode>
                <c:ptCount val="2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  <c:pt idx="7">
                  <c:v>1906831.4</c:v>
                </c:pt>
                <c:pt idx="8">
                  <c:v>2139161.16</c:v>
                </c:pt>
                <c:pt idx="9">
                  <c:v>2245436.1</c:v>
                </c:pt>
                <c:pt idx="10">
                  <c:v>2310961.27</c:v>
                </c:pt>
                <c:pt idx="11">
                  <c:v>2315571.4300000002</c:v>
                </c:pt>
                <c:pt idx="12">
                  <c:v>2326609.6</c:v>
                </c:pt>
                <c:pt idx="13">
                  <c:v>2330859.44</c:v>
                </c:pt>
                <c:pt idx="14">
                  <c:v>2335924.61</c:v>
                </c:pt>
                <c:pt idx="15">
                  <c:v>2342094.94</c:v>
                </c:pt>
                <c:pt idx="16">
                  <c:v>2349356.94</c:v>
                </c:pt>
                <c:pt idx="17">
                  <c:v>2357309.85</c:v>
                </c:pt>
                <c:pt idx="18">
                  <c:v>2357309.9500000002</c:v>
                </c:pt>
                <c:pt idx="19">
                  <c:v>2357309.9500000002</c:v>
                </c:pt>
                <c:pt idx="20">
                  <c:v>2357309.9500000002</c:v>
                </c:pt>
                <c:pt idx="21">
                  <c:v>2357309.9500000002</c:v>
                </c:pt>
                <c:pt idx="22">
                  <c:v>2357309.9500000002</c:v>
                </c:pt>
                <c:pt idx="23">
                  <c:v>2357309.9500000002</c:v>
                </c:pt>
                <c:pt idx="24">
                  <c:v>2357309.9500000002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Raisins'!$G$9:$G$47</c:f>
              <c:numCache>
                <c:formatCode>#,##0</c:formatCode>
                <c:ptCount val="25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55177982.93</c:v>
                </c:pt>
                <c:pt idx="7">
                  <c:v>66843765.259999998</c:v>
                </c:pt>
                <c:pt idx="8">
                  <c:v>78329833.560000002</c:v>
                </c:pt>
                <c:pt idx="9">
                  <c:v>85074446.99000001</c:v>
                </c:pt>
                <c:pt idx="10">
                  <c:v>87207139.13000001</c:v>
                </c:pt>
                <c:pt idx="11">
                  <c:v>89771399.720000014</c:v>
                </c:pt>
                <c:pt idx="12">
                  <c:v>93061603.12000002</c:v>
                </c:pt>
                <c:pt idx="13">
                  <c:v>94539082.730000019</c:v>
                </c:pt>
                <c:pt idx="14">
                  <c:v>95269162.770000026</c:v>
                </c:pt>
                <c:pt idx="15">
                  <c:v>96451164.770000026</c:v>
                </c:pt>
                <c:pt idx="16">
                  <c:v>96639688.270000026</c:v>
                </c:pt>
                <c:pt idx="17">
                  <c:v>97112226.520000026</c:v>
                </c:pt>
                <c:pt idx="18">
                  <c:v>97991524.030000031</c:v>
                </c:pt>
                <c:pt idx="19">
                  <c:v>98845965.020000026</c:v>
                </c:pt>
                <c:pt idx="20">
                  <c:v>99106720.320000023</c:v>
                </c:pt>
                <c:pt idx="21">
                  <c:v>99480758.520000026</c:v>
                </c:pt>
                <c:pt idx="22">
                  <c:v>99587524.320000023</c:v>
                </c:pt>
                <c:pt idx="23">
                  <c:v>99654557.820000023</c:v>
                </c:pt>
                <c:pt idx="24">
                  <c:v>100655542.82000002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Raisins'!$I$9:$I$47</c:f>
              <c:numCache>
                <c:formatCode>#,##0</c:formatCode>
                <c:ptCount val="25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  <c:pt idx="7">
                  <c:v>57601444.769999996</c:v>
                </c:pt>
                <c:pt idx="8">
                  <c:v>66784825.329999998</c:v>
                </c:pt>
                <c:pt idx="9">
                  <c:v>73005219.340000004</c:v>
                </c:pt>
                <c:pt idx="10">
                  <c:v>79903008.100000009</c:v>
                </c:pt>
                <c:pt idx="11">
                  <c:v>84052270.400000006</c:v>
                </c:pt>
                <c:pt idx="12">
                  <c:v>88436945.950000003</c:v>
                </c:pt>
                <c:pt idx="13">
                  <c:v>91353484.510000005</c:v>
                </c:pt>
                <c:pt idx="14">
                  <c:v>95536029.579999998</c:v>
                </c:pt>
                <c:pt idx="15">
                  <c:v>97417372.370000005</c:v>
                </c:pt>
                <c:pt idx="16">
                  <c:v>99016047.700000003</c:v>
                </c:pt>
                <c:pt idx="17">
                  <c:v>100046860.24000001</c:v>
                </c:pt>
                <c:pt idx="18">
                  <c:v>100431993.52000001</c:v>
                </c:pt>
                <c:pt idx="19">
                  <c:v>100544241.55000001</c:v>
                </c:pt>
                <c:pt idx="20">
                  <c:v>100877234.91000001</c:v>
                </c:pt>
                <c:pt idx="21">
                  <c:v>100877234.91000001</c:v>
                </c:pt>
                <c:pt idx="22">
                  <c:v>100877234.91000001</c:v>
                </c:pt>
                <c:pt idx="23">
                  <c:v>100877234.91000001</c:v>
                </c:pt>
                <c:pt idx="24">
                  <c:v>100877234.91000001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'Total Raisins'!$L$9:$L$47</c:f>
              <c:numCache>
                <c:formatCode>#,##0</c:formatCode>
                <c:ptCount val="25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  <c:pt idx="7">
                  <c:v>59987595.689999998</c:v>
                </c:pt>
                <c:pt idx="8">
                  <c:v>66380334.159999996</c:v>
                </c:pt>
                <c:pt idx="9">
                  <c:v>70818928.420000002</c:v>
                </c:pt>
                <c:pt idx="10">
                  <c:v>74180069.579999998</c:v>
                </c:pt>
                <c:pt idx="11">
                  <c:v>76811852.180000007</c:v>
                </c:pt>
                <c:pt idx="12">
                  <c:v>79008126.280000001</c:v>
                </c:pt>
                <c:pt idx="13">
                  <c:v>80591194.060000002</c:v>
                </c:pt>
                <c:pt idx="14">
                  <c:v>82173815.909999996</c:v>
                </c:pt>
                <c:pt idx="15">
                  <c:v>82959180.090000004</c:v>
                </c:pt>
                <c:pt idx="16">
                  <c:v>83914851.810000002</c:v>
                </c:pt>
                <c:pt idx="17">
                  <c:v>84558670.569999993</c:v>
                </c:pt>
                <c:pt idx="18">
                  <c:v>84778633.079999998</c:v>
                </c:pt>
                <c:pt idx="19">
                  <c:v>84824078.420000002</c:v>
                </c:pt>
                <c:pt idx="20">
                  <c:v>85851179.480000004</c:v>
                </c:pt>
                <c:pt idx="21">
                  <c:v>85851179.480000004</c:v>
                </c:pt>
                <c:pt idx="22">
                  <c:v>85851179.480000004</c:v>
                </c:pt>
                <c:pt idx="23">
                  <c:v>85851179.480000004</c:v>
                </c:pt>
                <c:pt idx="24">
                  <c:v>85851179.480000004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Thompsons!$G$9:$G$47</c:f>
              <c:numCache>
                <c:formatCode>#,##0</c:formatCode>
                <c:ptCount val="25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35199286.819999993</c:v>
                </c:pt>
                <c:pt idx="7">
                  <c:v>42384122.419999994</c:v>
                </c:pt>
                <c:pt idx="8">
                  <c:v>49306891.959999993</c:v>
                </c:pt>
                <c:pt idx="9">
                  <c:v>53473151.179999992</c:v>
                </c:pt>
                <c:pt idx="10">
                  <c:v>54902514.709999993</c:v>
                </c:pt>
                <c:pt idx="11">
                  <c:v>56321818.799999997</c:v>
                </c:pt>
                <c:pt idx="12">
                  <c:v>58077519.629999995</c:v>
                </c:pt>
                <c:pt idx="13">
                  <c:v>58799337.659999996</c:v>
                </c:pt>
                <c:pt idx="14">
                  <c:v>59074454.18</c:v>
                </c:pt>
                <c:pt idx="15">
                  <c:v>59839777.18</c:v>
                </c:pt>
                <c:pt idx="16">
                  <c:v>59884561.68</c:v>
                </c:pt>
                <c:pt idx="17">
                  <c:v>59967255.93</c:v>
                </c:pt>
                <c:pt idx="18">
                  <c:v>60198553.939999998</c:v>
                </c:pt>
                <c:pt idx="19">
                  <c:v>60357555.43</c:v>
                </c:pt>
                <c:pt idx="20">
                  <c:v>60395528.43</c:v>
                </c:pt>
                <c:pt idx="21">
                  <c:v>60469700.43</c:v>
                </c:pt>
                <c:pt idx="22">
                  <c:v>60560445.329999998</c:v>
                </c:pt>
                <c:pt idx="23">
                  <c:v>60592633.829999998</c:v>
                </c:pt>
                <c:pt idx="24">
                  <c:v>61396931.829999998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Thompsons!$B$9:$B$47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Thompsons!$I$9:$I$47</c:f>
              <c:numCache>
                <c:formatCode>#,##0</c:formatCode>
                <c:ptCount val="25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  <c:pt idx="7">
                  <c:v>31727602.320000004</c:v>
                </c:pt>
                <c:pt idx="8">
                  <c:v>38083494.400000006</c:v>
                </c:pt>
                <c:pt idx="9">
                  <c:v>42184371.409999996</c:v>
                </c:pt>
                <c:pt idx="10">
                  <c:v>46703060.869999997</c:v>
                </c:pt>
                <c:pt idx="11">
                  <c:v>49346402.640000001</c:v>
                </c:pt>
                <c:pt idx="12">
                  <c:v>52132708.409999996</c:v>
                </c:pt>
                <c:pt idx="13">
                  <c:v>53744140.43</c:v>
                </c:pt>
                <c:pt idx="14">
                  <c:v>56304864.229999997</c:v>
                </c:pt>
                <c:pt idx="15">
                  <c:v>57443846.009999998</c:v>
                </c:pt>
                <c:pt idx="16">
                  <c:v>57996437.280000001</c:v>
                </c:pt>
                <c:pt idx="17">
                  <c:v>58618253.060000002</c:v>
                </c:pt>
                <c:pt idx="18">
                  <c:v>58715011.310000002</c:v>
                </c:pt>
                <c:pt idx="19">
                  <c:v>58735666.810000002</c:v>
                </c:pt>
                <c:pt idx="20">
                  <c:v>58733343.230000004</c:v>
                </c:pt>
                <c:pt idx="21">
                  <c:v>58731019.650000006</c:v>
                </c:pt>
                <c:pt idx="22">
                  <c:v>58728696.070000008</c:v>
                </c:pt>
                <c:pt idx="23">
                  <c:v>58726372.49000001</c:v>
                </c:pt>
                <c:pt idx="24">
                  <c:v>58724048.910000011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Thompsons!$G$62:$G$100</c:f>
              <c:numCache>
                <c:formatCode>#,##0</c:formatCode>
                <c:ptCount val="25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30290659.490000002</c:v>
                </c:pt>
                <c:pt idx="7">
                  <c:v>35824315.510000005</c:v>
                </c:pt>
                <c:pt idx="8">
                  <c:v>40890427.020000003</c:v>
                </c:pt>
                <c:pt idx="9">
                  <c:v>43495255.730000004</c:v>
                </c:pt>
                <c:pt idx="10">
                  <c:v>44627738.240000002</c:v>
                </c:pt>
                <c:pt idx="11">
                  <c:v>45747742.740000002</c:v>
                </c:pt>
                <c:pt idx="12">
                  <c:v>47250914.07</c:v>
                </c:pt>
                <c:pt idx="13">
                  <c:v>47767996.07</c:v>
                </c:pt>
                <c:pt idx="14">
                  <c:v>47888449.07</c:v>
                </c:pt>
                <c:pt idx="15">
                  <c:v>48469706.57</c:v>
                </c:pt>
                <c:pt idx="16">
                  <c:v>48513210.57</c:v>
                </c:pt>
                <c:pt idx="17">
                  <c:v>48588848.07</c:v>
                </c:pt>
                <c:pt idx="18">
                  <c:v>48702211.57</c:v>
                </c:pt>
                <c:pt idx="19">
                  <c:v>48855211.07</c:v>
                </c:pt>
                <c:pt idx="20">
                  <c:v>48893184.07</c:v>
                </c:pt>
                <c:pt idx="21">
                  <c:v>48967356.07</c:v>
                </c:pt>
                <c:pt idx="22">
                  <c:v>49058100.969999999</c:v>
                </c:pt>
                <c:pt idx="23">
                  <c:v>49090289.469999999</c:v>
                </c:pt>
                <c:pt idx="24">
                  <c:v>48929342.469999999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Thompsons!$B$62:$B$100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Thompsons!$I$62:$I$100</c:f>
              <c:numCache>
                <c:formatCode>#,##0</c:formatCode>
                <c:ptCount val="25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  <c:pt idx="7">
                  <c:v>25936753.869999997</c:v>
                </c:pt>
                <c:pt idx="8">
                  <c:v>30831314.849999998</c:v>
                </c:pt>
                <c:pt idx="9">
                  <c:v>34128724.359999999</c:v>
                </c:pt>
                <c:pt idx="10">
                  <c:v>38145778.32</c:v>
                </c:pt>
                <c:pt idx="11">
                  <c:v>40336703.579999998</c:v>
                </c:pt>
                <c:pt idx="12">
                  <c:v>42687037.840000004</c:v>
                </c:pt>
                <c:pt idx="13">
                  <c:v>43858762.340000004</c:v>
                </c:pt>
                <c:pt idx="14">
                  <c:v>46147146.090000004</c:v>
                </c:pt>
                <c:pt idx="15">
                  <c:v>46956587.340000004</c:v>
                </c:pt>
                <c:pt idx="16">
                  <c:v>47371958.590000004</c:v>
                </c:pt>
                <c:pt idx="17">
                  <c:v>47939843.840000004</c:v>
                </c:pt>
                <c:pt idx="18">
                  <c:v>48019001.090000004</c:v>
                </c:pt>
                <c:pt idx="19">
                  <c:v>48039656.590000004</c:v>
                </c:pt>
                <c:pt idx="20">
                  <c:v>48034871.010000005</c:v>
                </c:pt>
                <c:pt idx="21">
                  <c:v>48034871.010000005</c:v>
                </c:pt>
                <c:pt idx="22">
                  <c:v>48034871.010000005</c:v>
                </c:pt>
                <c:pt idx="23">
                  <c:v>48034871.010000005</c:v>
                </c:pt>
                <c:pt idx="24">
                  <c:v>48032547.430000007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Thompsons!$G$115:$G$153</c:f>
              <c:numCache>
                <c:formatCode>#,##0</c:formatCode>
                <c:ptCount val="25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  <c:pt idx="7">
                  <c:v>6037728.96</c:v>
                </c:pt>
                <c:pt idx="8">
                  <c:v>7877742.4900000002</c:v>
                </c:pt>
                <c:pt idx="9">
                  <c:v>9430574.5500000007</c:v>
                </c:pt>
                <c:pt idx="10">
                  <c:v>9708654.0600000005</c:v>
                </c:pt>
                <c:pt idx="11">
                  <c:v>10004798.560000001</c:v>
                </c:pt>
                <c:pt idx="12">
                  <c:v>10252929.060000001</c:v>
                </c:pt>
                <c:pt idx="13">
                  <c:v>10457665.09</c:v>
                </c:pt>
                <c:pt idx="14">
                  <c:v>10612328.609999999</c:v>
                </c:pt>
                <c:pt idx="15">
                  <c:v>10796394.109999999</c:v>
                </c:pt>
                <c:pt idx="16">
                  <c:v>10797674.609999999</c:v>
                </c:pt>
                <c:pt idx="17">
                  <c:v>10804731.359999999</c:v>
                </c:pt>
                <c:pt idx="18">
                  <c:v>10922665.869999999</c:v>
                </c:pt>
                <c:pt idx="19">
                  <c:v>10928667.859999999</c:v>
                </c:pt>
                <c:pt idx="20">
                  <c:v>10928667.859999999</c:v>
                </c:pt>
                <c:pt idx="21">
                  <c:v>10928667.859999999</c:v>
                </c:pt>
                <c:pt idx="22">
                  <c:v>10928667.859999999</c:v>
                </c:pt>
                <c:pt idx="23">
                  <c:v>10928667.859999999</c:v>
                </c:pt>
                <c:pt idx="24">
                  <c:v>11893912.859999999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Thompsons!$B$115:$B$153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Thompsons!$I$115:$I$153</c:f>
              <c:numCache>
                <c:formatCode>#,##0</c:formatCode>
                <c:ptCount val="25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  <c:pt idx="7">
                  <c:v>5161395.4700000007</c:v>
                </c:pt>
                <c:pt idx="8">
                  <c:v>6574718.5300000012</c:v>
                </c:pt>
                <c:pt idx="9">
                  <c:v>7378186.0300000003</c:v>
                </c:pt>
                <c:pt idx="10">
                  <c:v>7879821.5300000003</c:v>
                </c:pt>
                <c:pt idx="11">
                  <c:v>8332238.04</c:v>
                </c:pt>
                <c:pt idx="12">
                  <c:v>8760674.0399999991</c:v>
                </c:pt>
                <c:pt idx="13">
                  <c:v>9187632.0499999989</c:v>
                </c:pt>
                <c:pt idx="14">
                  <c:v>9459972.0999999996</c:v>
                </c:pt>
                <c:pt idx="15">
                  <c:v>9771001.6199999992</c:v>
                </c:pt>
                <c:pt idx="16">
                  <c:v>9907550.6399999987</c:v>
                </c:pt>
                <c:pt idx="17">
                  <c:v>9937622.1499999985</c:v>
                </c:pt>
                <c:pt idx="18">
                  <c:v>9955223.1499999985</c:v>
                </c:pt>
                <c:pt idx="19">
                  <c:v>9955223.1499999985</c:v>
                </c:pt>
                <c:pt idx="20">
                  <c:v>9957685.1499999985</c:v>
                </c:pt>
                <c:pt idx="21">
                  <c:v>9957685.1499999985</c:v>
                </c:pt>
                <c:pt idx="22">
                  <c:v>9957685.1499999985</c:v>
                </c:pt>
                <c:pt idx="23">
                  <c:v>9957685.1499999985</c:v>
                </c:pt>
                <c:pt idx="24">
                  <c:v>9955361.5699999984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Thompsons!$G$168:$G$206</c:f>
              <c:numCache>
                <c:formatCode>#,##0</c:formatCode>
                <c:ptCount val="25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  <c:pt idx="7">
                  <c:v>522077.95</c:v>
                </c:pt>
                <c:pt idx="8">
                  <c:v>538722.44999999995</c:v>
                </c:pt>
                <c:pt idx="9">
                  <c:v>547320.89999999991</c:v>
                </c:pt>
                <c:pt idx="10">
                  <c:v>566122.40999999992</c:v>
                </c:pt>
                <c:pt idx="11">
                  <c:v>569277.49999999988</c:v>
                </c:pt>
                <c:pt idx="12">
                  <c:v>573676.49999999988</c:v>
                </c:pt>
                <c:pt idx="13">
                  <c:v>573676.49999999988</c:v>
                </c:pt>
                <c:pt idx="14">
                  <c:v>573676.49999999988</c:v>
                </c:pt>
                <c:pt idx="15">
                  <c:v>573676.49999999988</c:v>
                </c:pt>
                <c:pt idx="16">
                  <c:v>573676.49999999988</c:v>
                </c:pt>
                <c:pt idx="17">
                  <c:v>573676.49999999988</c:v>
                </c:pt>
                <c:pt idx="18">
                  <c:v>573676.49999999988</c:v>
                </c:pt>
                <c:pt idx="19">
                  <c:v>573676.49999999988</c:v>
                </c:pt>
                <c:pt idx="20">
                  <c:v>573676.49999999988</c:v>
                </c:pt>
                <c:pt idx="21">
                  <c:v>573676.49999999988</c:v>
                </c:pt>
                <c:pt idx="22">
                  <c:v>573676.49999999988</c:v>
                </c:pt>
                <c:pt idx="23">
                  <c:v>573676.49999999988</c:v>
                </c:pt>
                <c:pt idx="24">
                  <c:v>573676.49999999988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Thompsons!$B$168:$B$206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Thompsons!$I$168:$I$206</c:f>
              <c:numCache>
                <c:formatCode>#,##0</c:formatCode>
                <c:ptCount val="25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  <c:pt idx="7">
                  <c:v>629452.9800000001</c:v>
                </c:pt>
                <c:pt idx="8">
                  <c:v>677461.02000000014</c:v>
                </c:pt>
                <c:pt idx="9">
                  <c:v>677461.02</c:v>
                </c:pt>
                <c:pt idx="10">
                  <c:v>677461.02</c:v>
                </c:pt>
                <c:pt idx="11">
                  <c:v>677461.02</c:v>
                </c:pt>
                <c:pt idx="12">
                  <c:v>684996.53</c:v>
                </c:pt>
                <c:pt idx="13">
                  <c:v>697746.04</c:v>
                </c:pt>
                <c:pt idx="14">
                  <c:v>697746.04</c:v>
                </c:pt>
                <c:pt idx="15">
                  <c:v>716257.05</c:v>
                </c:pt>
                <c:pt idx="16">
                  <c:v>716928.05</c:v>
                </c:pt>
                <c:pt idx="17">
                  <c:v>740787.07000000007</c:v>
                </c:pt>
                <c:pt idx="18">
                  <c:v>740787.07000000007</c:v>
                </c:pt>
                <c:pt idx="19">
                  <c:v>740787.07000000007</c:v>
                </c:pt>
                <c:pt idx="20">
                  <c:v>740787.07000000007</c:v>
                </c:pt>
                <c:pt idx="21">
                  <c:v>740787.07000000007</c:v>
                </c:pt>
                <c:pt idx="22">
                  <c:v>740787.07000000007</c:v>
                </c:pt>
                <c:pt idx="23">
                  <c:v>740787.07000000007</c:v>
                </c:pt>
                <c:pt idx="24">
                  <c:v>738463.49000000011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53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106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160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483658</xdr:colOff>
      <xdr:row>56</xdr:row>
      <xdr:rowOff>186268</xdr:rowOff>
    </xdr:from>
    <xdr:to>
      <xdr:col>18</xdr:col>
      <xdr:colOff>19050</xdr:colOff>
      <xdr:row>70</xdr:row>
      <xdr:rowOff>118534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595840</xdr:colOff>
      <xdr:row>110</xdr:row>
      <xdr:rowOff>1060</xdr:rowOff>
    </xdr:from>
    <xdr:to>
      <xdr:col>18</xdr:col>
      <xdr:colOff>35982</xdr:colOff>
      <xdr:row>123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655108</xdr:colOff>
      <xdr:row>163</xdr:row>
      <xdr:rowOff>10584</xdr:rowOff>
    </xdr:from>
    <xdr:to>
      <xdr:col>17</xdr:col>
      <xdr:colOff>493183</xdr:colOff>
      <xdr:row>176</xdr:row>
      <xdr:rowOff>160867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520700</xdr:colOff>
      <xdr:row>2</xdr:row>
      <xdr:rowOff>372535</xdr:rowOff>
    </xdr:from>
    <xdr:to>
      <xdr:col>18</xdr:col>
      <xdr:colOff>42333</xdr:colOff>
      <xdr:row>17</xdr:row>
      <xdr:rowOff>93134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53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159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533944</xdr:colOff>
      <xdr:row>2</xdr:row>
      <xdr:rowOff>19051</xdr:rowOff>
    </xdr:from>
    <xdr:to>
      <xdr:col>16</xdr:col>
      <xdr:colOff>379639</xdr:colOff>
      <xdr:row>15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56</xdr:row>
      <xdr:rowOff>74295</xdr:rowOff>
    </xdr:from>
    <xdr:to>
      <xdr:col>16</xdr:col>
      <xdr:colOff>390525</xdr:colOff>
      <xdr:row>67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109</xdr:row>
      <xdr:rowOff>41910</xdr:rowOff>
    </xdr:from>
    <xdr:to>
      <xdr:col>16</xdr:col>
      <xdr:colOff>381000</xdr:colOff>
      <xdr:row>120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160</xdr:row>
      <xdr:rowOff>219075</xdr:rowOff>
    </xdr:from>
    <xdr:to>
      <xdr:col>16</xdr:col>
      <xdr:colOff>400050</xdr:colOff>
      <xdr:row>173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106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53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106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159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54</xdr:row>
      <xdr:rowOff>161925</xdr:rowOff>
    </xdr:from>
    <xdr:to>
      <xdr:col>17</xdr:col>
      <xdr:colOff>276225</xdr:colOff>
      <xdr:row>67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107</xdr:row>
      <xdr:rowOff>219075</xdr:rowOff>
    </xdr:from>
    <xdr:to>
      <xdr:col>17</xdr:col>
      <xdr:colOff>276225</xdr:colOff>
      <xdr:row>120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160</xdr:row>
      <xdr:rowOff>200025</xdr:rowOff>
    </xdr:from>
    <xdr:to>
      <xdr:col>17</xdr:col>
      <xdr:colOff>257175</xdr:colOff>
      <xdr:row>173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53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106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159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107</xdr:row>
      <xdr:rowOff>200025</xdr:rowOff>
    </xdr:from>
    <xdr:to>
      <xdr:col>17</xdr:col>
      <xdr:colOff>0</xdr:colOff>
      <xdr:row>120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55</xdr:row>
      <xdr:rowOff>0</xdr:rowOff>
    </xdr:from>
    <xdr:to>
      <xdr:col>17</xdr:col>
      <xdr:colOff>3810</xdr:colOff>
      <xdr:row>67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161</xdr:row>
      <xdr:rowOff>0</xdr:rowOff>
    </xdr:from>
    <xdr:to>
      <xdr:col>17</xdr:col>
      <xdr:colOff>3810</xdr:colOff>
      <xdr:row>173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53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106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159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159</xdr:row>
      <xdr:rowOff>161925</xdr:rowOff>
    </xdr:from>
    <xdr:to>
      <xdr:col>17</xdr:col>
      <xdr:colOff>544830</xdr:colOff>
      <xdr:row>173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54</xdr:row>
      <xdr:rowOff>190500</xdr:rowOff>
    </xdr:from>
    <xdr:to>
      <xdr:col>18</xdr:col>
      <xdr:colOff>11430</xdr:colOff>
      <xdr:row>67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107</xdr:row>
      <xdr:rowOff>190500</xdr:rowOff>
    </xdr:from>
    <xdr:to>
      <xdr:col>18</xdr:col>
      <xdr:colOff>3810</xdr:colOff>
      <xdr:row>120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53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106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159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55</xdr:row>
      <xdr:rowOff>194310</xdr:rowOff>
    </xdr:from>
    <xdr:to>
      <xdr:col>18</xdr:col>
      <xdr:colOff>7620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107</xdr:row>
      <xdr:rowOff>161925</xdr:rowOff>
    </xdr:from>
    <xdr:to>
      <xdr:col>18</xdr:col>
      <xdr:colOff>1905</xdr:colOff>
      <xdr:row>120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161</xdr:row>
      <xdr:rowOff>1</xdr:rowOff>
    </xdr:from>
    <xdr:to>
      <xdr:col>18</xdr:col>
      <xdr:colOff>0</xdr:colOff>
      <xdr:row>173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53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106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159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54</xdr:row>
      <xdr:rowOff>219075</xdr:rowOff>
    </xdr:from>
    <xdr:to>
      <xdr:col>17</xdr:col>
      <xdr:colOff>0</xdr:colOff>
      <xdr:row>67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108</xdr:row>
      <xdr:rowOff>1</xdr:rowOff>
    </xdr:from>
    <xdr:to>
      <xdr:col>17</xdr:col>
      <xdr:colOff>19050</xdr:colOff>
      <xdr:row>120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161</xdr:row>
      <xdr:rowOff>1</xdr:rowOff>
    </xdr:from>
    <xdr:to>
      <xdr:col>17</xdr:col>
      <xdr:colOff>19050</xdr:colOff>
      <xdr:row>173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53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106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159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55</xdr:row>
      <xdr:rowOff>0</xdr:rowOff>
    </xdr:from>
    <xdr:to>
      <xdr:col>16</xdr:col>
      <xdr:colOff>544830</xdr:colOff>
      <xdr:row>67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108</xdr:row>
      <xdr:rowOff>0</xdr:rowOff>
    </xdr:from>
    <xdr:to>
      <xdr:col>16</xdr:col>
      <xdr:colOff>544830</xdr:colOff>
      <xdr:row>120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161</xdr:row>
      <xdr:rowOff>0</xdr:rowOff>
    </xdr:from>
    <xdr:to>
      <xdr:col>16</xdr:col>
      <xdr:colOff>544830</xdr:colOff>
      <xdr:row>173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-87630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03166-42D8-4C1F-BBEA-009F8781C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76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42</xdr:row>
      <xdr:rowOff>47625</xdr:rowOff>
    </xdr:from>
    <xdr:to>
      <xdr:col>2</xdr:col>
      <xdr:colOff>1310640</xdr:colOff>
      <xdr:row>45</xdr:row>
      <xdr:rowOff>16938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2BC9F7-81CF-4B2C-92A8-8C9C9D38FD82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7759065"/>
          <a:ext cx="1541145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133778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410107-6BB2-463C-9B77-EBF63D3DA4E4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132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81</xdr:row>
      <xdr:rowOff>114300</xdr:rowOff>
    </xdr:from>
    <xdr:to>
      <xdr:col>2</xdr:col>
      <xdr:colOff>1314450</xdr:colOff>
      <xdr:row>84</xdr:row>
      <xdr:rowOff>98853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C66760-6B28-4A47-8E9F-4E4F1505AF3F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504950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121</xdr:row>
      <xdr:rowOff>107950</xdr:rowOff>
    </xdr:from>
    <xdr:to>
      <xdr:col>2</xdr:col>
      <xdr:colOff>1333500</xdr:colOff>
      <xdr:row>124</xdr:row>
      <xdr:rowOff>96313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9F6F6A-4DB6-4FAC-9FD8-00CE1E4ED54A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449790"/>
          <a:ext cx="1535430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162</xdr:row>
      <xdr:rowOff>114300</xdr:rowOff>
    </xdr:from>
    <xdr:to>
      <xdr:col>2</xdr:col>
      <xdr:colOff>1333500</xdr:colOff>
      <xdr:row>165</xdr:row>
      <xdr:rowOff>133143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9BCC3-9B94-4F90-B493-67D956337EE8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004566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201</xdr:row>
      <xdr:rowOff>104775</xdr:rowOff>
    </xdr:from>
    <xdr:to>
      <xdr:col>2</xdr:col>
      <xdr:colOff>1310640</xdr:colOff>
      <xdr:row>204</xdr:row>
      <xdr:rowOff>96948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3122F30-9FF5-45B7-A07D-B05918B1CA8D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7168455"/>
          <a:ext cx="1541145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240</xdr:row>
      <xdr:rowOff>114300</xdr:rowOff>
    </xdr:from>
    <xdr:to>
      <xdr:col>2</xdr:col>
      <xdr:colOff>1312545</xdr:colOff>
      <xdr:row>243</xdr:row>
      <xdr:rowOff>98853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ED0B46-0825-4A9C-B141-45A86B7CDF26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44378880"/>
          <a:ext cx="152400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278</xdr:row>
      <xdr:rowOff>142875</xdr:rowOff>
    </xdr:from>
    <xdr:to>
      <xdr:col>2</xdr:col>
      <xdr:colOff>1310640</xdr:colOff>
      <xdr:row>281</xdr:row>
      <xdr:rowOff>133143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FD5BEF-5733-41E5-8AB5-65E78CAF47EA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51425475"/>
          <a:ext cx="1541145" cy="584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319</xdr:row>
      <xdr:rowOff>79375</xdr:rowOff>
    </xdr:from>
    <xdr:to>
      <xdr:col>2</xdr:col>
      <xdr:colOff>1312545</xdr:colOff>
      <xdr:row>322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6CCAA0-CE24-4E08-93D5-FF5B908B3318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58936255"/>
          <a:ext cx="152400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358</xdr:row>
      <xdr:rowOff>114300</xdr:rowOff>
    </xdr:from>
    <xdr:to>
      <xdr:col>2</xdr:col>
      <xdr:colOff>1348740</xdr:colOff>
      <xdr:row>361</xdr:row>
      <xdr:rowOff>98853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EAEDF4-A177-41B7-8DA1-CC16D61E1CB2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66133980"/>
          <a:ext cx="1541145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397</xdr:row>
      <xdr:rowOff>95250</xdr:rowOff>
    </xdr:from>
    <xdr:to>
      <xdr:col>2</xdr:col>
      <xdr:colOff>1350645</xdr:colOff>
      <xdr:row>400</xdr:row>
      <xdr:rowOff>56943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60D7F25-7AFF-440A-928F-5425A5BAD248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3315830"/>
          <a:ext cx="1524000" cy="5712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436</xdr:row>
      <xdr:rowOff>114300</xdr:rowOff>
    </xdr:from>
    <xdr:to>
      <xdr:col>2</xdr:col>
      <xdr:colOff>1257300</xdr:colOff>
      <xdr:row>439</xdr:row>
      <xdr:rowOff>98853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BB84FCF-2751-46EE-AD5C-DBB8B3DC28B6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8053578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478</xdr:row>
      <xdr:rowOff>76200</xdr:rowOff>
    </xdr:from>
    <xdr:to>
      <xdr:col>2</xdr:col>
      <xdr:colOff>1274445</xdr:colOff>
      <xdr:row>481</xdr:row>
      <xdr:rowOff>95043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FAF5F9-FC61-4E00-92C7-6A0846F914F4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88445340"/>
          <a:ext cx="152400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517</xdr:row>
      <xdr:rowOff>85725</xdr:rowOff>
    </xdr:from>
    <xdr:to>
      <xdr:col>2</xdr:col>
      <xdr:colOff>1272540</xdr:colOff>
      <xdr:row>520</xdr:row>
      <xdr:rowOff>55038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FE7EA1F-D9CF-49D7-B546-4841C534F4CC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95640525"/>
          <a:ext cx="1541145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556</xdr:row>
      <xdr:rowOff>47625</xdr:rowOff>
    </xdr:from>
    <xdr:to>
      <xdr:col>2</xdr:col>
      <xdr:colOff>1314450</xdr:colOff>
      <xdr:row>559</xdr:row>
      <xdr:rowOff>16938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19E7004-57B5-427A-A063-EFF37515C163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02803325"/>
          <a:ext cx="1535430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595</xdr:row>
      <xdr:rowOff>19050</xdr:rowOff>
    </xdr:from>
    <xdr:to>
      <xdr:col>2</xdr:col>
      <xdr:colOff>1257300</xdr:colOff>
      <xdr:row>597</xdr:row>
      <xdr:rowOff>171243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466FCF7-3A09-4590-B233-0AC6DD2F5665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109983270"/>
          <a:ext cx="1535430" cy="563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637</xdr:row>
      <xdr:rowOff>114300</xdr:rowOff>
    </xdr:from>
    <xdr:to>
      <xdr:col>2</xdr:col>
      <xdr:colOff>1236345</xdr:colOff>
      <xdr:row>640</xdr:row>
      <xdr:rowOff>133143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99C41F2-BA56-4D6A-A225-E2AC957A8275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117866160"/>
          <a:ext cx="152400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676</xdr:row>
      <xdr:rowOff>28575</xdr:rowOff>
    </xdr:from>
    <xdr:to>
      <xdr:col>2</xdr:col>
      <xdr:colOff>1272540</xdr:colOff>
      <xdr:row>679</xdr:row>
      <xdr:rowOff>20748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8D68883-C3ED-4749-A41A-099273B8B019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125194695"/>
          <a:ext cx="1541145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715</xdr:row>
      <xdr:rowOff>104775</xdr:rowOff>
    </xdr:from>
    <xdr:to>
      <xdr:col>2</xdr:col>
      <xdr:colOff>1276350</xdr:colOff>
      <xdr:row>718</xdr:row>
      <xdr:rowOff>96948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68D5603-BF3F-4821-9877-62F3021C2FF6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32509895"/>
          <a:ext cx="1535430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754</xdr:row>
      <xdr:rowOff>66675</xdr:rowOff>
    </xdr:from>
    <xdr:to>
      <xdr:col>2</xdr:col>
      <xdr:colOff>1276350</xdr:colOff>
      <xdr:row>757</xdr:row>
      <xdr:rowOff>58848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2520D11-0140-496B-89D1-C8CCAFBBCBE7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39680315"/>
          <a:ext cx="1535430" cy="6017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raisinsa.sharepoint.com/sites/RaisinSA/Shared%20Documents/2026/3.%20Market%20Intelligence%20and%20Access/3.%20MA/1.%20Intelligence/6.%20Weekly%20Intakes/Weekly%20intakes/Week%2016/Weeklikse%20inname%20week%204%20tot%2016.xlsx" TargetMode="External"/><Relationship Id="rId2" Type="http://schemas.microsoft.com/office/2019/04/relationships/externalLinkLongPath" Target="Weekly%20intakes/Week%2020/Weekly%20intakes/Week%2016/Weeklikse%20inname%20week%204%20tot%2016.xlsx?8108ED5D" TargetMode="External"/><Relationship Id="rId1" Type="http://schemas.openxmlformats.org/officeDocument/2006/relationships/externalLinkPath" Target="file:///\\8108ED5D\Weeklikse%20inname%20week%204%20tot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raisinsa.sharepoint.com/sites/RaisinSA/Shared%20Documents/2026/3.%20Market%20Intelligence%20and%20Access/3.%20MA/1.%20Intelligence/6.%20Weekly%20Intakes/Weekly%20intakes/Week%2028/Weekly%20Intakes%20_Week%204-28_Product%20Type%20Breakdown.xlsx" TargetMode="External"/><Relationship Id="rId2" Type="http://schemas.microsoft.com/office/2019/04/relationships/externalLinkLongPath" Target="Weekly%20intakes/Week%2028/Weekly%20Intakes%20_Week%204-28_Product%20Type%20Breakdown.xlsx?EEE51F92" TargetMode="External"/><Relationship Id="rId1" Type="http://schemas.openxmlformats.org/officeDocument/2006/relationships/externalLinkPath" Target="file:///\\EEE51F92\Weekly%20Intakes%20_Week%204-28_Product%20Type%20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otal Raisins"/>
      <sheetName val="Thompsons"/>
      <sheetName val="Flame"/>
      <sheetName val="SA Sultana"/>
      <sheetName val="OR Sultana"/>
      <sheetName val="Goldens"/>
      <sheetName val="Currants"/>
      <sheetName val="Other"/>
      <sheetName val=" Specific add product detail"/>
    </sheetNames>
    <sheetDataSet>
      <sheetData sheetId="0" refreshError="1"/>
      <sheetData sheetId="1">
        <row r="12">
          <cell r="E12">
            <v>3178848</v>
          </cell>
        </row>
      </sheetData>
      <sheetData sheetId="2">
        <row r="12">
          <cell r="E12">
            <v>352980</v>
          </cell>
        </row>
      </sheetData>
      <sheetData sheetId="3">
        <row r="12">
          <cell r="E12">
            <v>376135</v>
          </cell>
        </row>
      </sheetData>
      <sheetData sheetId="4">
        <row r="12">
          <cell r="E12">
            <v>225496</v>
          </cell>
        </row>
      </sheetData>
      <sheetData sheetId="5">
        <row r="12">
          <cell r="E12">
            <v>400197.5</v>
          </cell>
        </row>
      </sheetData>
      <sheetData sheetId="6">
        <row r="12">
          <cell r="E12">
            <v>217067</v>
          </cell>
        </row>
      </sheetData>
      <sheetData sheetId="7">
        <row r="12">
          <cell r="E12">
            <v>110420.5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lease Note"/>
      <sheetName val="Total Raisins"/>
      <sheetName val="Thompsons"/>
      <sheetName val="Flame"/>
      <sheetName val="SA Sultana"/>
      <sheetName val="OR Sultana"/>
      <sheetName val="Goldens"/>
      <sheetName val="Currants"/>
      <sheetName val="Other"/>
      <sheetName val=" Specific add product detail"/>
    </sheetNames>
    <sheetDataSet>
      <sheetData sheetId="0" refreshError="1"/>
      <sheetData sheetId="1" refreshError="1"/>
      <sheetData sheetId="2">
        <row r="28">
          <cell r="E28">
            <v>-64311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1">
          <cell r="E31">
            <v>-64311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4" x14ac:dyDescent="0.3"/>
  <sheetData>
    <row r="2" spans="1:1" ht="14.5" x14ac:dyDescent="0.35">
      <c r="A2" s="2" t="s">
        <v>0</v>
      </c>
    </row>
    <row r="3" spans="1:1" ht="14.5" x14ac:dyDescent="0.35">
      <c r="A3" s="2" t="s">
        <v>1</v>
      </c>
    </row>
    <row r="4" spans="1:1" ht="14.5" x14ac:dyDescent="0.35">
      <c r="A4" s="2" t="s">
        <v>2</v>
      </c>
    </row>
    <row r="5" spans="1:1" ht="14.5" x14ac:dyDescent="0.35">
      <c r="A5" s="2" t="s">
        <v>3</v>
      </c>
    </row>
    <row r="6" spans="1:1" ht="14.5" x14ac:dyDescent="0.35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1860-8CF0-461C-A634-6B09D777C678}">
  <dimension ref="A1:O792"/>
  <sheetViews>
    <sheetView topLeftCell="A538" workbookViewId="0">
      <selection activeCell="J512" sqref="J512"/>
    </sheetView>
  </sheetViews>
  <sheetFormatPr defaultRowHeight="14" x14ac:dyDescent="0.3"/>
  <cols>
    <col min="1" max="1" width="2.59765625" customWidth="1"/>
    <col min="2" max="2" width="6.09765625" customWidth="1"/>
    <col min="3" max="3" width="24" style="101" customWidth="1"/>
    <col min="4" max="4" width="18.59765625" style="102" customWidth="1"/>
    <col min="5" max="5" width="13" style="102" customWidth="1"/>
    <col min="6" max="6" width="15.09765625" style="102" customWidth="1"/>
    <col min="7" max="7" width="14.59765625" style="102" customWidth="1"/>
    <col min="8" max="8" width="25" style="89" customWidth="1"/>
    <col min="9" max="9" width="11.3984375" customWidth="1"/>
    <col min="10" max="10" width="12.3984375" customWidth="1"/>
  </cols>
  <sheetData>
    <row r="1" spans="1:9" ht="14.5" x14ac:dyDescent="0.35">
      <c r="A1" s="3"/>
      <c r="B1" s="59" t="s">
        <v>50</v>
      </c>
      <c r="C1" s="60"/>
      <c r="D1" s="61"/>
      <c r="E1" s="61"/>
      <c r="F1" s="61"/>
      <c r="G1" s="61"/>
      <c r="H1" s="62"/>
      <c r="I1" s="3"/>
    </row>
    <row r="2" spans="1:9" ht="14.5" x14ac:dyDescent="0.35">
      <c r="A2" s="3"/>
      <c r="B2" s="59" t="s">
        <v>51</v>
      </c>
      <c r="C2" s="60"/>
      <c r="D2" s="61"/>
      <c r="E2" s="61" t="s">
        <v>52</v>
      </c>
      <c r="F2" s="61" t="s">
        <v>52</v>
      </c>
      <c r="G2" s="61" t="s">
        <v>52</v>
      </c>
      <c r="H2" s="62" t="s">
        <v>52</v>
      </c>
      <c r="I2" s="3"/>
    </row>
    <row r="3" spans="1:9" ht="14.5" x14ac:dyDescent="0.35">
      <c r="A3" s="3"/>
      <c r="B3" s="59"/>
      <c r="C3" s="60"/>
      <c r="D3" s="61"/>
      <c r="E3" s="61"/>
      <c r="F3" s="61"/>
      <c r="G3" s="61"/>
      <c r="H3" s="62"/>
      <c r="I3" s="3"/>
    </row>
    <row r="4" spans="1:9" ht="14.5" x14ac:dyDescent="0.35">
      <c r="A4" s="3"/>
      <c r="B4" s="3"/>
      <c r="C4" s="63"/>
      <c r="D4" s="64"/>
      <c r="E4" s="64"/>
      <c r="F4" s="64"/>
      <c r="G4" s="64"/>
      <c r="H4" s="39"/>
      <c r="I4" s="3"/>
    </row>
    <row r="5" spans="1:9" ht="14.5" x14ac:dyDescent="0.35">
      <c r="A5" s="3"/>
      <c r="B5" s="3"/>
      <c r="C5" s="63"/>
      <c r="D5" s="64"/>
      <c r="E5" s="64"/>
      <c r="F5" s="64"/>
      <c r="G5" s="64"/>
      <c r="H5" s="39"/>
      <c r="I5" s="3"/>
    </row>
    <row r="6" spans="1:9" ht="16.5" customHeight="1" x14ac:dyDescent="0.45">
      <c r="A6" s="32"/>
      <c r="B6" s="33" t="s">
        <v>52</v>
      </c>
      <c r="C6" s="65" t="s">
        <v>52</v>
      </c>
      <c r="D6" s="197" t="s">
        <v>53</v>
      </c>
      <c r="E6" s="197"/>
      <c r="F6" s="197"/>
      <c r="G6" s="197"/>
      <c r="H6" s="197"/>
      <c r="I6" s="2" t="s">
        <v>0</v>
      </c>
    </row>
    <row r="7" spans="1:9" ht="15.9" customHeight="1" x14ac:dyDescent="0.4">
      <c r="A7" s="3"/>
      <c r="B7" s="128" t="s">
        <v>88</v>
      </c>
      <c r="C7" s="128"/>
      <c r="D7" s="128"/>
      <c r="E7" s="128"/>
      <c r="F7" s="128"/>
      <c r="G7" s="128"/>
      <c r="H7" s="128"/>
      <c r="I7" s="2" t="s">
        <v>1</v>
      </c>
    </row>
    <row r="8" spans="1:9" ht="14.4" customHeight="1" x14ac:dyDescent="0.35">
      <c r="A8" s="3"/>
      <c r="B8" s="14"/>
      <c r="C8" s="15"/>
      <c r="D8" s="142" t="s">
        <v>6</v>
      </c>
      <c r="E8" s="142"/>
      <c r="F8" s="142"/>
      <c r="G8" s="142"/>
      <c r="H8" s="198"/>
      <c r="I8" s="2" t="s">
        <v>2</v>
      </c>
    </row>
    <row r="9" spans="1:9" ht="14.5" x14ac:dyDescent="0.35">
      <c r="A9" s="3"/>
      <c r="B9" s="12"/>
      <c r="C9" s="13"/>
      <c r="D9" s="145" t="s">
        <v>9</v>
      </c>
      <c r="E9" s="145"/>
      <c r="F9" s="145"/>
      <c r="G9" s="145"/>
      <c r="H9" s="198"/>
      <c r="I9" s="2" t="s">
        <v>3</v>
      </c>
    </row>
    <row r="10" spans="1:9" ht="14.4" customHeight="1" x14ac:dyDescent="0.35">
      <c r="A10" s="3"/>
      <c r="B10" s="133" t="s">
        <v>10</v>
      </c>
      <c r="C10" s="199" t="s">
        <v>11</v>
      </c>
      <c r="D10" s="51" t="s">
        <v>12</v>
      </c>
      <c r="E10" s="51" t="s">
        <v>13</v>
      </c>
      <c r="F10" s="51" t="s">
        <v>14</v>
      </c>
      <c r="G10" s="66" t="s">
        <v>15</v>
      </c>
      <c r="H10" s="200"/>
      <c r="I10" s="2" t="s">
        <v>4</v>
      </c>
    </row>
    <row r="11" spans="1:9" ht="14.5" x14ac:dyDescent="0.35">
      <c r="A11" s="3"/>
      <c r="B11" s="133"/>
      <c r="C11" s="199"/>
      <c r="D11" s="154" t="s">
        <v>20</v>
      </c>
      <c r="E11" s="154"/>
      <c r="F11" s="154"/>
      <c r="G11" s="154"/>
      <c r="H11" s="200"/>
      <c r="I11" s="3"/>
    </row>
    <row r="12" spans="1:9" ht="14.5" x14ac:dyDescent="0.35">
      <c r="A12" s="3"/>
      <c r="B12" s="40">
        <v>4</v>
      </c>
      <c r="C12" s="67" t="s">
        <v>21</v>
      </c>
      <c r="D12" s="68">
        <v>238649.5</v>
      </c>
      <c r="E12" s="20">
        <v>0</v>
      </c>
      <c r="F12" s="69">
        <v>238649.5</v>
      </c>
      <c r="G12" s="70">
        <v>238649.5</v>
      </c>
      <c r="H12" s="71" t="s">
        <v>52</v>
      </c>
      <c r="I12" s="3"/>
    </row>
    <row r="13" spans="1:9" ht="14.5" x14ac:dyDescent="0.35">
      <c r="A13" s="3"/>
      <c r="B13" s="72">
        <v>5</v>
      </c>
      <c r="C13" s="73" t="s">
        <v>22</v>
      </c>
      <c r="D13" s="68">
        <v>1725098.5</v>
      </c>
      <c r="E13" s="25">
        <v>0</v>
      </c>
      <c r="F13" s="69">
        <v>1725098.5</v>
      </c>
      <c r="G13" s="70">
        <v>1963748</v>
      </c>
      <c r="H13" s="71" t="s">
        <v>52</v>
      </c>
      <c r="I13" s="39"/>
    </row>
    <row r="14" spans="1:9" ht="14.5" x14ac:dyDescent="0.35">
      <c r="A14" s="3"/>
      <c r="B14" s="72">
        <v>6</v>
      </c>
      <c r="C14" s="73" t="s">
        <v>23</v>
      </c>
      <c r="D14" s="68">
        <v>2950114.79</v>
      </c>
      <c r="E14" s="25">
        <v>0</v>
      </c>
      <c r="F14" s="69">
        <v>2950114.79</v>
      </c>
      <c r="G14" s="70">
        <v>4913862.79</v>
      </c>
      <c r="H14" s="71" t="s">
        <v>52</v>
      </c>
      <c r="I14" s="3"/>
    </row>
    <row r="15" spans="1:9" ht="14.5" x14ac:dyDescent="0.35">
      <c r="A15" s="3"/>
      <c r="B15" s="72">
        <v>7</v>
      </c>
      <c r="C15" s="73" t="s">
        <v>24</v>
      </c>
      <c r="D15" s="68">
        <v>1497270.22</v>
      </c>
      <c r="E15" s="25">
        <v>831062.5</v>
      </c>
      <c r="F15" s="69">
        <f>1497270.22+831062.5</f>
        <v>2328332.7199999997</v>
      </c>
      <c r="G15" s="70">
        <f>4913862.79+2328332.72</f>
        <v>7242195.5099999998</v>
      </c>
      <c r="H15" s="71" t="s">
        <v>52</v>
      </c>
      <c r="I15" s="3"/>
    </row>
    <row r="16" spans="1:9" s="3" customFormat="1" ht="14.5" x14ac:dyDescent="0.35">
      <c r="B16" s="40">
        <v>8</v>
      </c>
      <c r="C16" s="38" t="s">
        <v>25</v>
      </c>
      <c r="D16" s="25">
        <v>1809356.01</v>
      </c>
      <c r="E16" s="25">
        <v>0</v>
      </c>
      <c r="F16" s="47">
        <f t="shared" ref="F16:F36" si="0">+E16+D16</f>
        <v>1809356.01</v>
      </c>
      <c r="G16" s="74">
        <f>+G15+F16</f>
        <v>9051551.5199999996</v>
      </c>
      <c r="H16" s="71"/>
      <c r="I16" s="75"/>
    </row>
    <row r="17" spans="2:10" s="3" customFormat="1" ht="14.5" x14ac:dyDescent="0.35">
      <c r="B17" s="40">
        <v>9</v>
      </c>
      <c r="C17" s="38" t="s">
        <v>26</v>
      </c>
      <c r="D17" s="25">
        <v>1401684.53</v>
      </c>
      <c r="E17" s="25">
        <v>0</v>
      </c>
      <c r="F17" s="47">
        <f t="shared" si="0"/>
        <v>1401684.53</v>
      </c>
      <c r="G17" s="74">
        <f t="shared" ref="G17:G36" si="1">+G16+F17</f>
        <v>10453236.049999999</v>
      </c>
      <c r="H17" s="71"/>
      <c r="I17" s="42"/>
      <c r="J17" s="42"/>
    </row>
    <row r="18" spans="2:10" s="3" customFormat="1" ht="14.5" x14ac:dyDescent="0.35">
      <c r="B18" s="40">
        <v>10</v>
      </c>
      <c r="C18" s="38" t="s">
        <v>62</v>
      </c>
      <c r="D18" s="25">
        <v>1938633.5</v>
      </c>
      <c r="E18" s="25">
        <v>0</v>
      </c>
      <c r="F18" s="47">
        <f t="shared" si="0"/>
        <v>1938633.5</v>
      </c>
      <c r="G18" s="74">
        <f t="shared" si="1"/>
        <v>12391869.549999999</v>
      </c>
      <c r="H18" s="71"/>
      <c r="I18" s="42"/>
      <c r="J18" s="42"/>
    </row>
    <row r="19" spans="2:10" s="3" customFormat="1" ht="14.5" x14ac:dyDescent="0.35">
      <c r="B19" s="40">
        <v>11</v>
      </c>
      <c r="C19" s="38" t="s">
        <v>63</v>
      </c>
      <c r="D19" s="25">
        <v>924184.5</v>
      </c>
      <c r="E19" s="25">
        <v>0</v>
      </c>
      <c r="F19" s="47">
        <f t="shared" si="0"/>
        <v>924184.5</v>
      </c>
      <c r="G19" s="74">
        <f t="shared" si="1"/>
        <v>13316054.049999999</v>
      </c>
      <c r="H19" s="71"/>
      <c r="I19" s="42"/>
      <c r="J19" s="42"/>
    </row>
    <row r="20" spans="2:10" s="3" customFormat="1" ht="14.5" x14ac:dyDescent="0.35">
      <c r="B20" s="40">
        <v>12</v>
      </c>
      <c r="C20" s="38" t="s">
        <v>78</v>
      </c>
      <c r="D20" s="25">
        <v>981003.01</v>
      </c>
      <c r="E20" s="25">
        <v>0</v>
      </c>
      <c r="F20" s="47">
        <f t="shared" si="0"/>
        <v>981003.01</v>
      </c>
      <c r="G20" s="74">
        <f t="shared" si="1"/>
        <v>14297057.059999999</v>
      </c>
      <c r="H20" s="71"/>
      <c r="I20" s="42"/>
      <c r="J20" s="42"/>
    </row>
    <row r="21" spans="2:10" s="3" customFormat="1" ht="14.5" x14ac:dyDescent="0.35">
      <c r="B21" s="40">
        <v>13</v>
      </c>
      <c r="C21" s="38" t="s">
        <v>64</v>
      </c>
      <c r="D21" s="25">
        <v>757691.52</v>
      </c>
      <c r="E21" s="25">
        <v>0</v>
      </c>
      <c r="F21" s="47">
        <f t="shared" si="0"/>
        <v>757691.52</v>
      </c>
      <c r="G21" s="74">
        <f t="shared" si="1"/>
        <v>15054748.579999998</v>
      </c>
      <c r="H21" s="71"/>
      <c r="I21" s="42"/>
      <c r="J21" s="42"/>
    </row>
    <row r="22" spans="2:10" s="3" customFormat="1" ht="13.75" customHeight="1" x14ac:dyDescent="0.35">
      <c r="B22" s="40">
        <v>14</v>
      </c>
      <c r="C22" s="58" t="s">
        <v>65</v>
      </c>
      <c r="D22" s="25">
        <v>158016</v>
      </c>
      <c r="E22" s="25">
        <v>0</v>
      </c>
      <c r="F22" s="47">
        <f t="shared" si="0"/>
        <v>158016</v>
      </c>
      <c r="G22" s="74">
        <f t="shared" si="1"/>
        <v>15212764.579999998</v>
      </c>
      <c r="H22" s="71"/>
      <c r="I22" s="42"/>
      <c r="J22" s="42"/>
    </row>
    <row r="23" spans="2:10" s="3" customFormat="1" ht="14.5" x14ac:dyDescent="0.35">
      <c r="B23" s="40">
        <v>15</v>
      </c>
      <c r="C23" s="38" t="s">
        <v>66</v>
      </c>
      <c r="D23" s="25">
        <v>192045.5</v>
      </c>
      <c r="E23" s="25">
        <v>0</v>
      </c>
      <c r="F23" s="47">
        <f t="shared" si="0"/>
        <v>192045.5</v>
      </c>
      <c r="G23" s="74">
        <f t="shared" si="1"/>
        <v>15404810.079999998</v>
      </c>
      <c r="H23" s="71"/>
      <c r="I23" s="42"/>
      <c r="J23" s="42"/>
    </row>
    <row r="24" spans="2:10" s="3" customFormat="1" ht="14.5" x14ac:dyDescent="0.35">
      <c r="B24" s="40">
        <v>16</v>
      </c>
      <c r="C24" s="38" t="s">
        <v>67</v>
      </c>
      <c r="D24" s="25">
        <v>170134.5</v>
      </c>
      <c r="E24" s="25">
        <v>0</v>
      </c>
      <c r="F24" s="47">
        <f t="shared" si="0"/>
        <v>170134.5</v>
      </c>
      <c r="G24" s="74">
        <f t="shared" si="1"/>
        <v>15574944.579999998</v>
      </c>
      <c r="H24" s="71"/>
      <c r="I24" s="42"/>
      <c r="J24" s="42"/>
    </row>
    <row r="25" spans="2:10" s="3" customFormat="1" ht="14.5" x14ac:dyDescent="0.35">
      <c r="B25" s="40">
        <v>17</v>
      </c>
      <c r="C25" s="38" t="s">
        <v>68</v>
      </c>
      <c r="D25" s="25">
        <v>101675</v>
      </c>
      <c r="E25" s="25">
        <v>0</v>
      </c>
      <c r="F25" s="47">
        <f t="shared" si="0"/>
        <v>101675</v>
      </c>
      <c r="G25" s="74">
        <f t="shared" si="1"/>
        <v>15676619.579999998</v>
      </c>
      <c r="H25" s="71"/>
      <c r="I25" s="42"/>
      <c r="J25" s="42"/>
    </row>
    <row r="26" spans="2:10" s="3" customFormat="1" ht="14.5" x14ac:dyDescent="0.35">
      <c r="B26" s="40">
        <v>18</v>
      </c>
      <c r="C26" s="38" t="s">
        <v>69</v>
      </c>
      <c r="D26" s="25">
        <v>82061</v>
      </c>
      <c r="E26" s="25">
        <v>0</v>
      </c>
      <c r="F26" s="47">
        <f t="shared" si="0"/>
        <v>82061</v>
      </c>
      <c r="G26" s="74">
        <f t="shared" si="1"/>
        <v>15758680.579999998</v>
      </c>
      <c r="H26" s="71"/>
      <c r="I26" s="42"/>
      <c r="J26" s="42"/>
    </row>
    <row r="27" spans="2:10" s="3" customFormat="1" ht="14.5" x14ac:dyDescent="0.35">
      <c r="B27" s="40">
        <v>19</v>
      </c>
      <c r="C27" s="38" t="s">
        <v>70</v>
      </c>
      <c r="D27" s="25">
        <v>15508</v>
      </c>
      <c r="E27" s="25">
        <v>0</v>
      </c>
      <c r="F27" s="47">
        <f t="shared" si="0"/>
        <v>15508</v>
      </c>
      <c r="G27" s="74">
        <f t="shared" si="1"/>
        <v>15774188.579999998</v>
      </c>
      <c r="H27" s="71"/>
      <c r="I27" s="42"/>
      <c r="J27" s="42"/>
    </row>
    <row r="28" spans="2:10" s="3" customFormat="1" ht="14.5" x14ac:dyDescent="0.35">
      <c r="B28" s="40">
        <v>20</v>
      </c>
      <c r="C28" s="38" t="s">
        <v>71</v>
      </c>
      <c r="D28" s="25">
        <v>0</v>
      </c>
      <c r="E28" s="25">
        <v>0</v>
      </c>
      <c r="F28" s="47">
        <f t="shared" si="0"/>
        <v>0</v>
      </c>
      <c r="G28" s="74">
        <f t="shared" si="1"/>
        <v>15774188.579999998</v>
      </c>
      <c r="H28" s="71"/>
      <c r="I28" s="42"/>
      <c r="J28" s="42"/>
    </row>
    <row r="29" spans="2:10" s="3" customFormat="1" ht="14.5" x14ac:dyDescent="0.35">
      <c r="B29" s="40">
        <v>21</v>
      </c>
      <c r="C29" s="38" t="s">
        <v>72</v>
      </c>
      <c r="D29" s="25">
        <v>10407.25</v>
      </c>
      <c r="E29" s="25">
        <v>0</v>
      </c>
      <c r="F29" s="47">
        <f t="shared" si="0"/>
        <v>10407.25</v>
      </c>
      <c r="G29" s="74">
        <f t="shared" si="1"/>
        <v>15784595.829999998</v>
      </c>
      <c r="H29" s="71"/>
      <c r="I29" s="42"/>
      <c r="J29" s="42"/>
    </row>
    <row r="30" spans="2:10" s="3" customFormat="1" ht="14.5" x14ac:dyDescent="0.35">
      <c r="B30" s="40">
        <v>22</v>
      </c>
      <c r="C30" s="38" t="s">
        <v>73</v>
      </c>
      <c r="D30" s="25">
        <v>82007</v>
      </c>
      <c r="E30" s="25">
        <v>0</v>
      </c>
      <c r="F30" s="47">
        <f t="shared" si="0"/>
        <v>82007</v>
      </c>
      <c r="G30" s="74">
        <f t="shared" si="1"/>
        <v>15866602.829999998</v>
      </c>
      <c r="H30" s="71"/>
      <c r="I30" s="42"/>
      <c r="J30" s="42"/>
    </row>
    <row r="31" spans="2:10" s="3" customFormat="1" ht="14.5" x14ac:dyDescent="0.35">
      <c r="B31" s="40">
        <v>23</v>
      </c>
      <c r="C31" s="38" t="s">
        <v>74</v>
      </c>
      <c r="D31" s="25">
        <v>0</v>
      </c>
      <c r="E31" s="25">
        <v>-64311</v>
      </c>
      <c r="F31" s="47">
        <f t="shared" si="0"/>
        <v>-64311</v>
      </c>
      <c r="G31" s="74">
        <f t="shared" si="1"/>
        <v>15802291.829999998</v>
      </c>
      <c r="H31" s="71"/>
      <c r="I31" s="42"/>
      <c r="J31" s="42"/>
    </row>
    <row r="32" spans="2:10" s="3" customFormat="1" ht="14.5" x14ac:dyDescent="0.35">
      <c r="B32" s="40">
        <v>24</v>
      </c>
      <c r="C32" s="38" t="s">
        <v>75</v>
      </c>
      <c r="D32" s="25">
        <v>0</v>
      </c>
      <c r="E32" s="25">
        <v>0</v>
      </c>
      <c r="F32" s="47">
        <f t="shared" si="0"/>
        <v>0</v>
      </c>
      <c r="G32" s="74">
        <f t="shared" si="1"/>
        <v>15802291.829999998</v>
      </c>
      <c r="H32" s="71"/>
      <c r="I32" s="42"/>
      <c r="J32" s="42"/>
    </row>
    <row r="33" spans="1:10" s="3" customFormat="1" ht="14.5" x14ac:dyDescent="0.35">
      <c r="B33" s="40">
        <v>25</v>
      </c>
      <c r="C33" s="38" t="s">
        <v>76</v>
      </c>
      <c r="D33" s="25">
        <v>85.5</v>
      </c>
      <c r="E33" s="25">
        <v>0</v>
      </c>
      <c r="F33" s="47">
        <f t="shared" si="0"/>
        <v>85.5</v>
      </c>
      <c r="G33" s="74">
        <f t="shared" si="1"/>
        <v>15802377.329999998</v>
      </c>
      <c r="H33" s="71"/>
      <c r="I33" s="42"/>
      <c r="J33" s="42"/>
    </row>
    <row r="34" spans="1:10" s="3" customFormat="1" ht="14.5" x14ac:dyDescent="0.35">
      <c r="B34" s="40">
        <v>26</v>
      </c>
      <c r="C34" s="38" t="s">
        <v>77</v>
      </c>
      <c r="D34" s="25">
        <v>0</v>
      </c>
      <c r="E34" s="25">
        <v>37775</v>
      </c>
      <c r="F34" s="47">
        <f t="shared" si="0"/>
        <v>37775</v>
      </c>
      <c r="G34" s="74">
        <f t="shared" si="1"/>
        <v>15840152.329999998</v>
      </c>
      <c r="H34" s="71"/>
      <c r="I34" s="42"/>
      <c r="J34" s="42"/>
    </row>
    <row r="35" spans="1:10" s="3" customFormat="1" ht="14.5" x14ac:dyDescent="0.35">
      <c r="B35" s="40">
        <v>27</v>
      </c>
      <c r="C35" s="38" t="s">
        <v>81</v>
      </c>
      <c r="D35" s="25">
        <v>0</v>
      </c>
      <c r="E35" s="25">
        <v>0</v>
      </c>
      <c r="F35" s="47">
        <f t="shared" si="0"/>
        <v>0</v>
      </c>
      <c r="G35" s="74">
        <f t="shared" si="1"/>
        <v>15840152.329999998</v>
      </c>
      <c r="H35" s="71"/>
      <c r="I35" s="42"/>
      <c r="J35" s="42"/>
    </row>
    <row r="36" spans="1:10" s="3" customFormat="1" ht="14.5" x14ac:dyDescent="0.35">
      <c r="B36" s="40">
        <v>28</v>
      </c>
      <c r="C36" s="77" t="s">
        <v>87</v>
      </c>
      <c r="D36" s="25">
        <v>10242</v>
      </c>
      <c r="E36" s="25">
        <v>944585</v>
      </c>
      <c r="F36" s="47">
        <f t="shared" si="0"/>
        <v>954827</v>
      </c>
      <c r="G36" s="76">
        <f t="shared" si="1"/>
        <v>16794979.329999998</v>
      </c>
      <c r="H36" s="71"/>
      <c r="I36" s="42"/>
      <c r="J36" s="42"/>
    </row>
    <row r="37" spans="1:10" ht="14.5" x14ac:dyDescent="0.35">
      <c r="A37" s="3"/>
      <c r="B37" s="5" t="s">
        <v>52</v>
      </c>
      <c r="C37" s="78" t="s">
        <v>52</v>
      </c>
      <c r="D37" s="79" t="s">
        <v>52</v>
      </c>
      <c r="E37" s="79" t="s">
        <v>52</v>
      </c>
      <c r="F37" s="79" t="s">
        <v>52</v>
      </c>
      <c r="G37" s="79" t="s">
        <v>52</v>
      </c>
      <c r="H37" s="6" t="s">
        <v>52</v>
      </c>
      <c r="I37" s="3"/>
    </row>
    <row r="38" spans="1:10" ht="14.5" x14ac:dyDescent="0.35">
      <c r="A38" s="3"/>
      <c r="B38" s="8" t="s">
        <v>34</v>
      </c>
      <c r="C38" s="80"/>
      <c r="D38" s="79" t="s">
        <v>52</v>
      </c>
      <c r="E38" s="79" t="s">
        <v>52</v>
      </c>
      <c r="F38" s="79" t="s">
        <v>52</v>
      </c>
      <c r="G38" s="79" t="s">
        <v>52</v>
      </c>
      <c r="H38" s="6" t="s">
        <v>52</v>
      </c>
      <c r="I38" s="3"/>
    </row>
    <row r="39" spans="1:10" ht="14.5" x14ac:dyDescent="0.35">
      <c r="A39" s="3"/>
      <c r="B39" s="9" t="s">
        <v>35</v>
      </c>
      <c r="C39" s="5"/>
      <c r="D39" s="6"/>
      <c r="E39" s="6"/>
      <c r="F39" s="81"/>
      <c r="G39" s="81"/>
      <c r="H39" s="82"/>
      <c r="I39" s="3"/>
    </row>
    <row r="40" spans="1:10" ht="14.5" x14ac:dyDescent="0.35">
      <c r="A40" s="3"/>
      <c r="B40" s="9" t="s">
        <v>36</v>
      </c>
      <c r="C40" s="5"/>
      <c r="D40" s="6"/>
      <c r="E40" s="6"/>
      <c r="F40" s="81"/>
      <c r="G40" s="79" t="s">
        <v>52</v>
      </c>
      <c r="H40" s="6" t="s">
        <v>52</v>
      </c>
      <c r="I40" s="3"/>
    </row>
    <row r="41" spans="1:10" ht="14.5" x14ac:dyDescent="0.35">
      <c r="A41" s="3"/>
      <c r="B41" s="9" t="s">
        <v>37</v>
      </c>
      <c r="C41" s="5"/>
      <c r="D41" s="6"/>
      <c r="E41" s="6"/>
      <c r="F41" s="79" t="s">
        <v>52</v>
      </c>
      <c r="G41" s="79" t="s">
        <v>52</v>
      </c>
      <c r="H41" s="6" t="s">
        <v>52</v>
      </c>
      <c r="I41" s="3"/>
    </row>
    <row r="42" spans="1:10" ht="14.5" x14ac:dyDescent="0.35">
      <c r="A42" s="3"/>
      <c r="B42" s="9" t="s">
        <v>52</v>
      </c>
      <c r="C42" s="78" t="s">
        <v>52</v>
      </c>
      <c r="D42" s="79" t="s">
        <v>52</v>
      </c>
      <c r="E42" s="79" t="s">
        <v>52</v>
      </c>
      <c r="F42" s="79" t="s">
        <v>52</v>
      </c>
      <c r="G42" s="79" t="s">
        <v>52</v>
      </c>
      <c r="H42" s="6" t="s">
        <v>52</v>
      </c>
      <c r="I42" s="3"/>
    </row>
    <row r="43" spans="1:10" ht="14.5" x14ac:dyDescent="0.35">
      <c r="A43" s="3"/>
      <c r="B43" s="9" t="s">
        <v>52</v>
      </c>
      <c r="C43" s="78" t="s">
        <v>52</v>
      </c>
      <c r="D43" s="79" t="s">
        <v>52</v>
      </c>
      <c r="E43" s="79" t="s">
        <v>52</v>
      </c>
      <c r="F43" s="79" t="s">
        <v>52</v>
      </c>
      <c r="G43" s="79" t="s">
        <v>52</v>
      </c>
      <c r="H43" s="6" t="s">
        <v>52</v>
      </c>
      <c r="I43" s="3"/>
    </row>
    <row r="44" spans="1:10" ht="18.5" x14ac:dyDescent="0.45">
      <c r="A44" s="3"/>
      <c r="C44" s="83"/>
      <c r="D44" s="195" t="s">
        <v>38</v>
      </c>
      <c r="E44" s="195"/>
      <c r="F44" s="195"/>
      <c r="G44" s="195"/>
      <c r="H44" s="195"/>
      <c r="I44" s="3"/>
    </row>
    <row r="45" spans="1:10" ht="16" x14ac:dyDescent="0.4">
      <c r="A45" s="35"/>
      <c r="B45" s="26" t="s">
        <v>52</v>
      </c>
      <c r="C45" s="84" t="s">
        <v>52</v>
      </c>
      <c r="D45" s="196" t="s">
        <v>53</v>
      </c>
      <c r="E45" s="196"/>
      <c r="F45" s="196"/>
      <c r="G45" s="196"/>
      <c r="H45" s="196"/>
      <c r="I45" s="35"/>
    </row>
    <row r="46" spans="1:10" ht="15.9" customHeight="1" x14ac:dyDescent="0.4">
      <c r="A46" s="3"/>
      <c r="B46" s="128" t="s">
        <v>88</v>
      </c>
      <c r="C46" s="128"/>
      <c r="D46" s="128"/>
      <c r="E46" s="128"/>
      <c r="F46" s="128"/>
      <c r="G46" s="128"/>
      <c r="H46" s="128"/>
      <c r="I46" s="3"/>
    </row>
    <row r="47" spans="1:10" ht="14.5" x14ac:dyDescent="0.35">
      <c r="A47" s="3"/>
      <c r="B47" s="14"/>
      <c r="C47" s="15"/>
      <c r="D47" s="142" t="s">
        <v>6</v>
      </c>
      <c r="E47" s="142"/>
      <c r="F47" s="142"/>
      <c r="G47" s="142"/>
      <c r="H47" s="191" t="s">
        <v>52</v>
      </c>
      <c r="I47" s="3"/>
    </row>
    <row r="48" spans="1:10" ht="14.5" x14ac:dyDescent="0.35">
      <c r="A48" s="3"/>
      <c r="B48" s="12"/>
      <c r="C48" s="13"/>
      <c r="D48" s="145" t="s">
        <v>9</v>
      </c>
      <c r="E48" s="145"/>
      <c r="F48" s="145"/>
      <c r="G48" s="145"/>
      <c r="H48" s="191"/>
      <c r="I48" s="3"/>
    </row>
    <row r="49" spans="1:10" ht="14.5" x14ac:dyDescent="0.35">
      <c r="A49" s="3"/>
      <c r="B49" s="133" t="s">
        <v>10</v>
      </c>
      <c r="C49" s="135" t="s">
        <v>11</v>
      </c>
      <c r="D49" s="51" t="s">
        <v>12</v>
      </c>
      <c r="E49" s="51" t="s">
        <v>13</v>
      </c>
      <c r="F49" s="51" t="s">
        <v>14</v>
      </c>
      <c r="G49" s="66" t="s">
        <v>15</v>
      </c>
      <c r="H49" s="186" t="s">
        <v>52</v>
      </c>
      <c r="I49" s="3"/>
    </row>
    <row r="50" spans="1:10" ht="14.5" x14ac:dyDescent="0.35">
      <c r="A50" s="3"/>
      <c r="B50" s="133"/>
      <c r="C50" s="135"/>
      <c r="D50" s="154" t="s">
        <v>20</v>
      </c>
      <c r="E50" s="154"/>
      <c r="F50" s="154"/>
      <c r="G50" s="154"/>
      <c r="H50" s="186"/>
      <c r="I50" s="3"/>
    </row>
    <row r="51" spans="1:10" ht="14.5" x14ac:dyDescent="0.35">
      <c r="A51" s="3"/>
      <c r="B51" s="40">
        <v>4</v>
      </c>
      <c r="C51" s="67" t="s">
        <v>21</v>
      </c>
      <c r="D51" s="68">
        <v>187898.5</v>
      </c>
      <c r="E51" s="20">
        <v>0</v>
      </c>
      <c r="F51" s="69">
        <v>187898.5</v>
      </c>
      <c r="G51" s="70">
        <f>+F51</f>
        <v>187898.5</v>
      </c>
      <c r="H51" s="71" t="s">
        <v>52</v>
      </c>
      <c r="I51" s="3"/>
    </row>
    <row r="52" spans="1:10" ht="14.5" x14ac:dyDescent="0.35">
      <c r="A52" s="3"/>
      <c r="B52" s="72">
        <v>5</v>
      </c>
      <c r="C52" s="73" t="s">
        <v>22</v>
      </c>
      <c r="D52" s="68">
        <v>1650672.5</v>
      </c>
      <c r="E52" s="25">
        <v>0</v>
      </c>
      <c r="F52" s="69">
        <v>1650672.5</v>
      </c>
      <c r="G52" s="70">
        <f>+G51+F52</f>
        <v>1838571</v>
      </c>
      <c r="H52" s="71" t="s">
        <v>52</v>
      </c>
      <c r="I52" s="3"/>
    </row>
    <row r="53" spans="1:10" ht="14.5" x14ac:dyDescent="0.35">
      <c r="A53" s="3"/>
      <c r="B53" s="72">
        <v>6</v>
      </c>
      <c r="C53" s="73" t="s">
        <v>23</v>
      </c>
      <c r="D53" s="68">
        <v>2517090.29</v>
      </c>
      <c r="E53" s="25">
        <v>0</v>
      </c>
      <c r="F53" s="69">
        <v>2517090.29</v>
      </c>
      <c r="G53" s="70">
        <f>+G52+F53</f>
        <v>4355661.29</v>
      </c>
      <c r="H53" s="71" t="s">
        <v>52</v>
      </c>
    </row>
    <row r="54" spans="1:10" ht="14.5" x14ac:dyDescent="0.35">
      <c r="A54" s="3"/>
      <c r="B54" s="72">
        <v>7</v>
      </c>
      <c r="C54" s="73" t="s">
        <v>24</v>
      </c>
      <c r="D54" s="68">
        <v>1362926.72</v>
      </c>
      <c r="E54" s="25">
        <v>383556.5</v>
      </c>
      <c r="F54" s="69">
        <f>1362926.72+383556.5</f>
        <v>1746483.22</v>
      </c>
      <c r="G54" s="70">
        <f>+G53+F54</f>
        <v>6102144.5099999998</v>
      </c>
      <c r="H54" s="71" t="s">
        <v>52</v>
      </c>
      <c r="I54" s="3"/>
    </row>
    <row r="55" spans="1:10" s="3" customFormat="1" ht="14.5" x14ac:dyDescent="0.35">
      <c r="B55" s="40">
        <v>8</v>
      </c>
      <c r="C55" s="38" t="s">
        <v>25</v>
      </c>
      <c r="D55" s="25">
        <v>1329656.5</v>
      </c>
      <c r="E55" s="25">
        <v>0</v>
      </c>
      <c r="F55" s="47">
        <f t="shared" ref="F55:F75" si="2">+E55+D55</f>
        <v>1329656.5</v>
      </c>
      <c r="G55" s="74">
        <f>+G54+F55</f>
        <v>7431801.0099999998</v>
      </c>
      <c r="H55" s="71"/>
      <c r="I55" s="10"/>
    </row>
    <row r="56" spans="1:10" s="3" customFormat="1" ht="14.5" x14ac:dyDescent="0.35">
      <c r="B56" s="40">
        <v>9</v>
      </c>
      <c r="C56" s="38" t="s">
        <v>26</v>
      </c>
      <c r="D56" s="25">
        <v>723423.01</v>
      </c>
      <c r="E56" s="25">
        <v>0</v>
      </c>
      <c r="F56" s="47">
        <f t="shared" si="2"/>
        <v>723423.01</v>
      </c>
      <c r="G56" s="74">
        <f t="shared" ref="G56:G75" si="3">+G55+F56</f>
        <v>8155224.0199999996</v>
      </c>
      <c r="H56" s="71"/>
      <c r="I56" s="42"/>
      <c r="J56" s="42"/>
    </row>
    <row r="57" spans="1:10" s="3" customFormat="1" ht="14.5" x14ac:dyDescent="0.35">
      <c r="B57" s="40">
        <v>10</v>
      </c>
      <c r="C57" s="38" t="s">
        <v>62</v>
      </c>
      <c r="D57" s="25">
        <v>1531718</v>
      </c>
      <c r="E57" s="25">
        <v>0</v>
      </c>
      <c r="F57" s="47">
        <f t="shared" si="2"/>
        <v>1531718</v>
      </c>
      <c r="G57" s="74">
        <f t="shared" si="3"/>
        <v>9686942.0199999996</v>
      </c>
      <c r="H57" s="71"/>
      <c r="I57" s="42"/>
      <c r="J57" s="42"/>
    </row>
    <row r="58" spans="1:10" s="3" customFormat="1" ht="14.5" x14ac:dyDescent="0.35">
      <c r="B58" s="40">
        <v>11</v>
      </c>
      <c r="C58" s="38" t="s">
        <v>63</v>
      </c>
      <c r="D58" s="25">
        <v>454505</v>
      </c>
      <c r="E58" s="25">
        <v>0</v>
      </c>
      <c r="F58" s="47">
        <f t="shared" si="2"/>
        <v>454505</v>
      </c>
      <c r="G58" s="74">
        <f t="shared" si="3"/>
        <v>10141447.02</v>
      </c>
      <c r="H58" s="71"/>
      <c r="I58" s="42"/>
      <c r="J58" s="42"/>
    </row>
    <row r="59" spans="1:10" s="3" customFormat="1" ht="14.5" x14ac:dyDescent="0.35">
      <c r="B59" s="40">
        <v>12</v>
      </c>
      <c r="C59" s="38" t="s">
        <v>78</v>
      </c>
      <c r="D59" s="25">
        <v>280149.5</v>
      </c>
      <c r="E59" s="25">
        <v>0</v>
      </c>
      <c r="F59" s="47">
        <f t="shared" si="2"/>
        <v>280149.5</v>
      </c>
      <c r="G59" s="74">
        <f t="shared" si="3"/>
        <v>10421596.52</v>
      </c>
      <c r="H59" s="71"/>
      <c r="I59" s="42"/>
      <c r="J59" s="42"/>
    </row>
    <row r="60" spans="1:10" s="3" customFormat="1" ht="14.5" x14ac:dyDescent="0.35">
      <c r="B60" s="40">
        <v>13</v>
      </c>
      <c r="C60" s="38" t="s">
        <v>64</v>
      </c>
      <c r="D60" s="25">
        <v>383632.51</v>
      </c>
      <c r="E60" s="25">
        <v>-12755</v>
      </c>
      <c r="F60" s="47">
        <f t="shared" si="2"/>
        <v>370877.51</v>
      </c>
      <c r="G60" s="74">
        <f t="shared" si="3"/>
        <v>10792474.029999999</v>
      </c>
      <c r="H60" s="71"/>
      <c r="I60" s="42"/>
      <c r="J60" s="42"/>
    </row>
    <row r="61" spans="1:10" s="3" customFormat="1" ht="15.65" customHeight="1" x14ac:dyDescent="0.35">
      <c r="B61" s="40">
        <v>14</v>
      </c>
      <c r="C61" s="58" t="s">
        <v>65</v>
      </c>
      <c r="D61" s="25">
        <v>30384.5</v>
      </c>
      <c r="E61" s="25">
        <v>0</v>
      </c>
      <c r="F61" s="47">
        <f t="shared" si="2"/>
        <v>30384.5</v>
      </c>
      <c r="G61" s="74">
        <f t="shared" si="3"/>
        <v>10822858.529999999</v>
      </c>
      <c r="H61" s="71"/>
      <c r="I61" s="42"/>
      <c r="J61" s="42"/>
    </row>
    <row r="62" spans="1:10" s="3" customFormat="1" ht="14.5" x14ac:dyDescent="0.35">
      <c r="B62" s="40">
        <v>15</v>
      </c>
      <c r="C62" s="38" t="s">
        <v>66</v>
      </c>
      <c r="D62" s="25">
        <v>23615.5</v>
      </c>
      <c r="E62" s="25">
        <v>0</v>
      </c>
      <c r="F62" s="47">
        <f t="shared" si="2"/>
        <v>23615.5</v>
      </c>
      <c r="G62" s="74">
        <f t="shared" si="3"/>
        <v>10846474.029999999</v>
      </c>
      <c r="H62" s="71"/>
      <c r="I62" s="42"/>
      <c r="J62" s="42"/>
    </row>
    <row r="63" spans="1:10" s="3" customFormat="1" ht="14.5" x14ac:dyDescent="0.35">
      <c r="B63" s="40">
        <v>16</v>
      </c>
      <c r="C63" s="38" t="s">
        <v>67</v>
      </c>
      <c r="D63" s="25">
        <v>102010</v>
      </c>
      <c r="E63" s="25">
        <v>0</v>
      </c>
      <c r="F63" s="47">
        <f t="shared" si="2"/>
        <v>102010</v>
      </c>
      <c r="G63" s="74">
        <f t="shared" si="3"/>
        <v>10948484.029999999</v>
      </c>
      <c r="H63" s="71"/>
      <c r="I63" s="42"/>
      <c r="J63" s="42"/>
    </row>
    <row r="64" spans="1:10" s="3" customFormat="1" ht="14.5" x14ac:dyDescent="0.35">
      <c r="B64" s="40">
        <v>17</v>
      </c>
      <c r="C64" s="38" t="s">
        <v>68</v>
      </c>
      <c r="D64" s="25">
        <v>5522</v>
      </c>
      <c r="E64" s="25">
        <v>0</v>
      </c>
      <c r="F64" s="47">
        <f t="shared" si="2"/>
        <v>5522</v>
      </c>
      <c r="G64" s="74">
        <f t="shared" si="3"/>
        <v>10954006.029999999</v>
      </c>
      <c r="H64" s="71"/>
      <c r="I64" s="42"/>
      <c r="J64" s="42"/>
    </row>
    <row r="65" spans="1:10" s="3" customFormat="1" ht="14.5" x14ac:dyDescent="0.35">
      <c r="B65" s="40">
        <v>18</v>
      </c>
      <c r="C65" s="38" t="s">
        <v>69</v>
      </c>
      <c r="D65" s="25">
        <v>4572</v>
      </c>
      <c r="E65" s="25">
        <v>0</v>
      </c>
      <c r="F65" s="47">
        <f t="shared" si="2"/>
        <v>4572</v>
      </c>
      <c r="G65" s="74">
        <f t="shared" si="3"/>
        <v>10958578.029999999</v>
      </c>
      <c r="H65" s="71"/>
      <c r="I65" s="42"/>
      <c r="J65" s="42"/>
    </row>
    <row r="66" spans="1:10" s="3" customFormat="1" ht="14.5" x14ac:dyDescent="0.35">
      <c r="B66" s="40">
        <v>19</v>
      </c>
      <c r="C66" s="38" t="s">
        <v>70</v>
      </c>
      <c r="D66" s="25">
        <v>308</v>
      </c>
      <c r="E66" s="25">
        <v>0</v>
      </c>
      <c r="F66" s="47">
        <f t="shared" si="2"/>
        <v>308</v>
      </c>
      <c r="G66" s="74">
        <f t="shared" si="3"/>
        <v>10958886.029999999</v>
      </c>
      <c r="H66" s="71"/>
      <c r="I66" s="42"/>
      <c r="J66" s="42"/>
    </row>
    <row r="67" spans="1:10" s="3" customFormat="1" ht="14.5" x14ac:dyDescent="0.35">
      <c r="B67" s="40">
        <v>20</v>
      </c>
      <c r="C67" s="38" t="s">
        <v>71</v>
      </c>
      <c r="D67" s="25">
        <v>0</v>
      </c>
      <c r="E67" s="25">
        <v>0</v>
      </c>
      <c r="F67" s="47">
        <f t="shared" si="2"/>
        <v>0</v>
      </c>
      <c r="G67" s="74">
        <f t="shared" si="3"/>
        <v>10958886.029999999</v>
      </c>
      <c r="H67" s="71"/>
      <c r="I67" s="42"/>
      <c r="J67" s="42"/>
    </row>
    <row r="68" spans="1:10" s="3" customFormat="1" ht="14.5" x14ac:dyDescent="0.35">
      <c r="B68" s="40">
        <v>21</v>
      </c>
      <c r="C68" s="38" t="s">
        <v>72</v>
      </c>
      <c r="D68" s="25">
        <v>3350.5</v>
      </c>
      <c r="E68" s="25">
        <v>0</v>
      </c>
      <c r="F68" s="47">
        <f t="shared" si="2"/>
        <v>3350.5</v>
      </c>
      <c r="G68" s="74">
        <f t="shared" si="3"/>
        <v>10962236.529999999</v>
      </c>
      <c r="H68" s="71"/>
      <c r="I68" s="42"/>
      <c r="J68" s="42"/>
    </row>
    <row r="69" spans="1:10" s="3" customFormat="1" ht="14.5" x14ac:dyDescent="0.35">
      <c r="B69" s="40">
        <v>22</v>
      </c>
      <c r="C69" s="38" t="s">
        <v>73</v>
      </c>
      <c r="D69" s="25">
        <v>0</v>
      </c>
      <c r="E69" s="25">
        <v>0</v>
      </c>
      <c r="F69" s="47">
        <f t="shared" si="2"/>
        <v>0</v>
      </c>
      <c r="G69" s="74">
        <f t="shared" si="3"/>
        <v>10962236.529999999</v>
      </c>
      <c r="H69" s="71"/>
      <c r="I69" s="42"/>
      <c r="J69" s="42"/>
    </row>
    <row r="70" spans="1:10" s="3" customFormat="1" ht="14.5" x14ac:dyDescent="0.35">
      <c r="B70" s="40">
        <v>23</v>
      </c>
      <c r="C70" s="38" t="s">
        <v>74</v>
      </c>
      <c r="D70" s="25">
        <v>0</v>
      </c>
      <c r="E70" s="25">
        <v>-69279</v>
      </c>
      <c r="F70" s="47">
        <f t="shared" si="2"/>
        <v>-69279</v>
      </c>
      <c r="G70" s="74">
        <f t="shared" si="3"/>
        <v>10892957.529999999</v>
      </c>
      <c r="H70" s="71"/>
      <c r="I70" s="42"/>
      <c r="J70" s="42"/>
    </row>
    <row r="71" spans="1:10" s="3" customFormat="1" ht="14.5" x14ac:dyDescent="0.35">
      <c r="B71" s="40">
        <v>24</v>
      </c>
      <c r="C71" s="38" t="s">
        <v>75</v>
      </c>
      <c r="D71" s="25">
        <v>0</v>
      </c>
      <c r="E71" s="25">
        <v>0</v>
      </c>
      <c r="F71" s="47">
        <f t="shared" si="2"/>
        <v>0</v>
      </c>
      <c r="G71" s="74">
        <f t="shared" si="3"/>
        <v>10892957.529999999</v>
      </c>
      <c r="H71" s="71"/>
      <c r="I71" s="42"/>
      <c r="J71" s="42"/>
    </row>
    <row r="72" spans="1:10" s="3" customFormat="1" ht="14.5" x14ac:dyDescent="0.35">
      <c r="B72" s="40">
        <v>25</v>
      </c>
      <c r="C72" s="77" t="s">
        <v>76</v>
      </c>
      <c r="D72" s="25">
        <v>85.5</v>
      </c>
      <c r="E72" s="25">
        <v>0</v>
      </c>
      <c r="F72" s="47">
        <f t="shared" si="2"/>
        <v>85.5</v>
      </c>
      <c r="G72" s="74">
        <f t="shared" si="3"/>
        <v>10893043.029999999</v>
      </c>
      <c r="H72" s="71"/>
      <c r="I72" s="42"/>
      <c r="J72" s="42"/>
    </row>
    <row r="73" spans="1:10" s="3" customFormat="1" ht="14.5" x14ac:dyDescent="0.35">
      <c r="B73" s="40">
        <v>26</v>
      </c>
      <c r="C73" s="38" t="s">
        <v>77</v>
      </c>
      <c r="D73" s="25">
        <v>0</v>
      </c>
      <c r="E73" s="25">
        <v>37775</v>
      </c>
      <c r="F73" s="47">
        <f t="shared" si="2"/>
        <v>37775</v>
      </c>
      <c r="G73" s="74">
        <f t="shared" si="3"/>
        <v>10930818.029999999</v>
      </c>
      <c r="H73" s="71"/>
      <c r="I73" s="42"/>
      <c r="J73" s="42"/>
    </row>
    <row r="74" spans="1:10" s="3" customFormat="1" ht="14.5" x14ac:dyDescent="0.35">
      <c r="B74" s="40">
        <v>27</v>
      </c>
      <c r="C74" s="38" t="s">
        <v>81</v>
      </c>
      <c r="D74" s="25">
        <v>0</v>
      </c>
      <c r="E74" s="25"/>
      <c r="F74" s="47">
        <f t="shared" si="2"/>
        <v>0</v>
      </c>
      <c r="G74" s="74">
        <f t="shared" si="3"/>
        <v>10930818.029999999</v>
      </c>
      <c r="H74" s="71"/>
      <c r="I74" s="42"/>
      <c r="J74" s="42"/>
    </row>
    <row r="75" spans="1:10" s="3" customFormat="1" ht="14.5" x14ac:dyDescent="0.35">
      <c r="B75" s="40">
        <v>28</v>
      </c>
      <c r="C75" s="77" t="s">
        <v>87</v>
      </c>
      <c r="D75" s="25">
        <v>10242</v>
      </c>
      <c r="E75" s="25">
        <v>10839</v>
      </c>
      <c r="F75" s="47">
        <f t="shared" si="2"/>
        <v>21081</v>
      </c>
      <c r="G75" s="76">
        <f t="shared" si="3"/>
        <v>10951899.029999999</v>
      </c>
      <c r="H75" s="71"/>
      <c r="I75" s="42"/>
      <c r="J75" s="42"/>
    </row>
    <row r="76" spans="1:10" ht="14.5" x14ac:dyDescent="0.35">
      <c r="A76" s="3"/>
      <c r="B76" s="5" t="s">
        <v>52</v>
      </c>
      <c r="C76" s="78" t="s">
        <v>52</v>
      </c>
      <c r="D76" s="79" t="s">
        <v>52</v>
      </c>
      <c r="E76" s="79" t="s">
        <v>52</v>
      </c>
      <c r="F76" s="79" t="s">
        <v>52</v>
      </c>
      <c r="G76" s="79" t="s">
        <v>52</v>
      </c>
      <c r="H76" s="6" t="s">
        <v>52</v>
      </c>
      <c r="I76" s="3"/>
    </row>
    <row r="77" spans="1:10" ht="14.5" x14ac:dyDescent="0.35">
      <c r="A77" s="3"/>
      <c r="B77" s="8" t="s">
        <v>34</v>
      </c>
      <c r="C77" s="80"/>
      <c r="D77" s="79" t="s">
        <v>52</v>
      </c>
      <c r="E77" s="79" t="s">
        <v>52</v>
      </c>
      <c r="F77" s="79" t="s">
        <v>52</v>
      </c>
      <c r="G77" s="79" t="s">
        <v>52</v>
      </c>
      <c r="H77" s="6" t="s">
        <v>52</v>
      </c>
      <c r="I77" s="3"/>
    </row>
    <row r="78" spans="1:10" ht="14.5" x14ac:dyDescent="0.35">
      <c r="A78" s="3"/>
      <c r="B78" s="9" t="s">
        <v>35</v>
      </c>
      <c r="C78" s="5"/>
      <c r="D78" s="6"/>
      <c r="E78" s="6"/>
      <c r="F78" s="81"/>
      <c r="G78" s="81"/>
      <c r="H78" s="82"/>
      <c r="I78" s="3"/>
    </row>
    <row r="79" spans="1:10" ht="14.5" x14ac:dyDescent="0.35">
      <c r="A79" s="3"/>
      <c r="B79" s="9" t="s">
        <v>36</v>
      </c>
      <c r="C79" s="5"/>
      <c r="D79" s="6"/>
      <c r="E79" s="6"/>
      <c r="F79" s="81"/>
      <c r="G79" s="79" t="s">
        <v>52</v>
      </c>
      <c r="H79" s="6" t="s">
        <v>52</v>
      </c>
      <c r="I79" s="3"/>
    </row>
    <row r="80" spans="1:10" ht="14.5" x14ac:dyDescent="0.35">
      <c r="A80" s="3"/>
      <c r="B80" s="9" t="s">
        <v>37</v>
      </c>
      <c r="C80" s="5"/>
      <c r="D80" s="6"/>
      <c r="E80" s="6"/>
      <c r="F80" s="79" t="s">
        <v>52</v>
      </c>
      <c r="G80" s="79" t="s">
        <v>52</v>
      </c>
      <c r="H80" s="6" t="s">
        <v>52</v>
      </c>
      <c r="I80" s="3"/>
    </row>
    <row r="81" spans="1:10" ht="14.5" x14ac:dyDescent="0.35">
      <c r="A81" s="3"/>
      <c r="B81" s="10"/>
      <c r="C81" s="83"/>
      <c r="D81" s="85"/>
      <c r="E81" s="85"/>
      <c r="F81" s="85"/>
      <c r="G81" s="85"/>
      <c r="H81" s="42"/>
      <c r="I81" s="3"/>
    </row>
    <row r="82" spans="1:10" ht="14.5" x14ac:dyDescent="0.35">
      <c r="A82" s="3"/>
      <c r="B82" s="10"/>
      <c r="C82" s="83"/>
      <c r="D82" s="85"/>
      <c r="E82" s="85"/>
      <c r="F82" s="85"/>
      <c r="G82" s="85"/>
      <c r="H82" s="42"/>
      <c r="I82" s="3"/>
    </row>
    <row r="83" spans="1:10" ht="18.5" x14ac:dyDescent="0.45">
      <c r="A83" s="3"/>
      <c r="C83" s="83"/>
      <c r="D83" s="193" t="s">
        <v>40</v>
      </c>
      <c r="E83" s="193"/>
      <c r="F83" s="193"/>
      <c r="G83" s="193"/>
      <c r="H83" s="193"/>
      <c r="I83" s="3"/>
    </row>
    <row r="84" spans="1:10" ht="16" x14ac:dyDescent="0.4">
      <c r="A84" s="35"/>
      <c r="B84" s="26" t="s">
        <v>52</v>
      </c>
      <c r="C84" s="84" t="s">
        <v>52</v>
      </c>
      <c r="D84" s="194" t="s">
        <v>53</v>
      </c>
      <c r="E84" s="194"/>
      <c r="F84" s="194"/>
      <c r="G84" s="194"/>
      <c r="H84" s="194"/>
      <c r="I84" s="35"/>
    </row>
    <row r="85" spans="1:10" ht="15.9" customHeight="1" x14ac:dyDescent="0.4">
      <c r="A85" s="3"/>
      <c r="B85" s="128" t="s">
        <v>88</v>
      </c>
      <c r="C85" s="128"/>
      <c r="D85" s="128"/>
      <c r="E85" s="128"/>
      <c r="F85" s="128"/>
      <c r="G85" s="128"/>
      <c r="H85" s="128"/>
      <c r="I85" s="3"/>
    </row>
    <row r="86" spans="1:10" ht="14.5" x14ac:dyDescent="0.35">
      <c r="A86" s="3"/>
      <c r="B86" s="14"/>
      <c r="C86" s="15"/>
      <c r="D86" s="142" t="s">
        <v>6</v>
      </c>
      <c r="E86" s="142"/>
      <c r="F86" s="142"/>
      <c r="G86" s="142"/>
      <c r="H86" s="191" t="s">
        <v>52</v>
      </c>
      <c r="I86" s="3"/>
    </row>
    <row r="87" spans="1:10" ht="14.5" x14ac:dyDescent="0.35">
      <c r="A87" s="3"/>
      <c r="B87" s="12"/>
      <c r="C87" s="13"/>
      <c r="D87" s="145" t="s">
        <v>9</v>
      </c>
      <c r="E87" s="145"/>
      <c r="F87" s="145"/>
      <c r="G87" s="145"/>
      <c r="H87" s="191"/>
      <c r="I87" s="3"/>
    </row>
    <row r="88" spans="1:10" ht="14.5" x14ac:dyDescent="0.35">
      <c r="A88" s="3"/>
      <c r="B88" s="133" t="s">
        <v>10</v>
      </c>
      <c r="C88" s="135" t="s">
        <v>11</v>
      </c>
      <c r="D88" s="51" t="s">
        <v>12</v>
      </c>
      <c r="E88" s="51" t="s">
        <v>13</v>
      </c>
      <c r="F88" s="51" t="s">
        <v>14</v>
      </c>
      <c r="G88" s="66" t="s">
        <v>15</v>
      </c>
      <c r="H88" s="186" t="s">
        <v>52</v>
      </c>
      <c r="I88" s="3"/>
    </row>
    <row r="89" spans="1:10" ht="14.5" x14ac:dyDescent="0.35">
      <c r="A89" s="3"/>
      <c r="B89" s="133"/>
      <c r="C89" s="135"/>
      <c r="D89" s="154" t="s">
        <v>20</v>
      </c>
      <c r="E89" s="154"/>
      <c r="F89" s="154"/>
      <c r="G89" s="154"/>
      <c r="H89" s="186"/>
      <c r="I89" s="3"/>
    </row>
    <row r="90" spans="1:10" ht="14.5" x14ac:dyDescent="0.35">
      <c r="A90" s="3"/>
      <c r="B90" s="40">
        <v>4</v>
      </c>
      <c r="C90" s="67" t="s">
        <v>21</v>
      </c>
      <c r="D90" s="20">
        <v>0</v>
      </c>
      <c r="E90" s="20">
        <v>0</v>
      </c>
      <c r="F90" s="20">
        <v>0</v>
      </c>
      <c r="G90" s="20">
        <v>0</v>
      </c>
      <c r="H90" s="71" t="s">
        <v>52</v>
      </c>
      <c r="I90" s="3"/>
    </row>
    <row r="91" spans="1:10" ht="14.5" x14ac:dyDescent="0.35">
      <c r="A91" s="3"/>
      <c r="B91" s="72">
        <v>5</v>
      </c>
      <c r="C91" s="73" t="s">
        <v>22</v>
      </c>
      <c r="D91" s="68">
        <v>59122.5</v>
      </c>
      <c r="E91" s="25">
        <v>0</v>
      </c>
      <c r="F91" s="69">
        <v>59122.5</v>
      </c>
      <c r="G91" s="70">
        <f>+F91</f>
        <v>59122.5</v>
      </c>
      <c r="H91" s="71" t="s">
        <v>52</v>
      </c>
      <c r="I91" s="3"/>
    </row>
    <row r="92" spans="1:10" ht="14.5" x14ac:dyDescent="0.35">
      <c r="A92" s="3"/>
      <c r="B92" s="72">
        <v>6</v>
      </c>
      <c r="C92" s="73" t="s">
        <v>23</v>
      </c>
      <c r="D92" s="68">
        <v>372395</v>
      </c>
      <c r="E92" s="25">
        <v>0</v>
      </c>
      <c r="F92" s="69">
        <v>372395.5</v>
      </c>
      <c r="G92" s="70">
        <f>+G91+F92</f>
        <v>431518</v>
      </c>
      <c r="H92" s="71" t="s">
        <v>52</v>
      </c>
      <c r="I92" s="3"/>
    </row>
    <row r="93" spans="1:10" ht="14.5" x14ac:dyDescent="0.35">
      <c r="A93" s="3"/>
      <c r="B93" s="72">
        <v>7</v>
      </c>
      <c r="C93" s="73" t="s">
        <v>24</v>
      </c>
      <c r="D93" s="68">
        <v>134343.5</v>
      </c>
      <c r="E93" s="25">
        <v>447506</v>
      </c>
      <c r="F93" s="69">
        <v>581849.5</v>
      </c>
      <c r="G93" s="70">
        <v>1013367</v>
      </c>
      <c r="H93" s="71" t="s">
        <v>52</v>
      </c>
      <c r="I93" s="3"/>
    </row>
    <row r="94" spans="1:10" s="3" customFormat="1" ht="14.5" x14ac:dyDescent="0.35">
      <c r="B94" s="40">
        <v>8</v>
      </c>
      <c r="C94" s="38" t="s">
        <v>25</v>
      </c>
      <c r="D94" s="25">
        <v>456216</v>
      </c>
      <c r="E94" s="25">
        <v>0</v>
      </c>
      <c r="F94" s="47">
        <f t="shared" ref="F94:F114" si="4">+E94+D94</f>
        <v>456216</v>
      </c>
      <c r="G94" s="74">
        <f>+G93+F94</f>
        <v>1469583</v>
      </c>
      <c r="H94" s="71"/>
      <c r="I94" s="10"/>
    </row>
    <row r="95" spans="1:10" s="3" customFormat="1" ht="14.5" x14ac:dyDescent="0.35">
      <c r="B95" s="40">
        <v>9</v>
      </c>
      <c r="C95" s="38" t="s">
        <v>26</v>
      </c>
      <c r="D95" s="25">
        <v>670473.02</v>
      </c>
      <c r="E95" s="25">
        <v>0</v>
      </c>
      <c r="F95" s="47">
        <f t="shared" si="4"/>
        <v>670473.02</v>
      </c>
      <c r="G95" s="74">
        <f t="shared" ref="G95:G114" si="5">+G94+F95</f>
        <v>2140056.02</v>
      </c>
      <c r="H95" s="71"/>
      <c r="I95" s="42"/>
      <c r="J95" s="42"/>
    </row>
    <row r="96" spans="1:10" s="3" customFormat="1" ht="14.5" x14ac:dyDescent="0.35">
      <c r="B96" s="40">
        <v>10</v>
      </c>
      <c r="C96" s="38" t="s">
        <v>62</v>
      </c>
      <c r="D96" s="25">
        <v>406915.5</v>
      </c>
      <c r="E96" s="25">
        <v>0</v>
      </c>
      <c r="F96" s="47">
        <f t="shared" si="4"/>
        <v>406915.5</v>
      </c>
      <c r="G96" s="74">
        <f t="shared" si="5"/>
        <v>2546971.52</v>
      </c>
      <c r="H96" s="71"/>
      <c r="I96" s="42"/>
      <c r="J96" s="42"/>
    </row>
    <row r="97" spans="2:10" s="3" customFormat="1" ht="14.5" x14ac:dyDescent="0.35">
      <c r="B97" s="40">
        <v>11</v>
      </c>
      <c r="C97" s="38" t="s">
        <v>63</v>
      </c>
      <c r="D97" s="25">
        <v>469679.5</v>
      </c>
      <c r="E97" s="25">
        <v>0</v>
      </c>
      <c r="F97" s="47">
        <f t="shared" si="4"/>
        <v>469679.5</v>
      </c>
      <c r="G97" s="74">
        <f t="shared" si="5"/>
        <v>3016651.02</v>
      </c>
      <c r="H97" s="71"/>
      <c r="I97" s="42"/>
      <c r="J97" s="42"/>
    </row>
    <row r="98" spans="2:10" s="3" customFormat="1" ht="14.5" x14ac:dyDescent="0.35">
      <c r="B98" s="40">
        <v>12</v>
      </c>
      <c r="C98" s="38" t="s">
        <v>78</v>
      </c>
      <c r="D98" s="25">
        <v>700853.51</v>
      </c>
      <c r="E98" s="25">
        <v>0</v>
      </c>
      <c r="F98" s="47">
        <f t="shared" si="4"/>
        <v>700853.51</v>
      </c>
      <c r="G98" s="74">
        <f t="shared" si="5"/>
        <v>3717504.5300000003</v>
      </c>
      <c r="H98" s="71"/>
      <c r="I98" s="42"/>
      <c r="J98" s="42"/>
    </row>
    <row r="99" spans="2:10" s="3" customFormat="1" ht="14.5" x14ac:dyDescent="0.35">
      <c r="B99" s="40">
        <v>13</v>
      </c>
      <c r="C99" s="38" t="s">
        <v>64</v>
      </c>
      <c r="D99" s="25">
        <v>374059.01</v>
      </c>
      <c r="E99" s="25">
        <v>12755</v>
      </c>
      <c r="F99" s="47">
        <f t="shared" si="4"/>
        <v>386814.01</v>
      </c>
      <c r="G99" s="74">
        <f t="shared" si="5"/>
        <v>4104318.54</v>
      </c>
      <c r="H99" s="71"/>
      <c r="I99" s="42"/>
      <c r="J99" s="42"/>
    </row>
    <row r="100" spans="2:10" s="3" customFormat="1" ht="15.65" customHeight="1" x14ac:dyDescent="0.35">
      <c r="B100" s="40">
        <v>14</v>
      </c>
      <c r="C100" s="58" t="s">
        <v>65</v>
      </c>
      <c r="D100" s="25">
        <v>127631.5</v>
      </c>
      <c r="E100" s="25">
        <v>0</v>
      </c>
      <c r="F100" s="47">
        <f t="shared" si="4"/>
        <v>127631.5</v>
      </c>
      <c r="G100" s="74">
        <f t="shared" si="5"/>
        <v>4231950.04</v>
      </c>
      <c r="H100" s="71"/>
      <c r="I100" s="42"/>
      <c r="J100" s="42"/>
    </row>
    <row r="101" spans="2:10" s="3" customFormat="1" ht="14.5" x14ac:dyDescent="0.35">
      <c r="B101" s="40">
        <v>15</v>
      </c>
      <c r="C101" s="38" t="s">
        <v>66</v>
      </c>
      <c r="D101" s="25">
        <v>168430</v>
      </c>
      <c r="E101" s="25">
        <v>0</v>
      </c>
      <c r="F101" s="47">
        <f t="shared" si="4"/>
        <v>168430</v>
      </c>
      <c r="G101" s="74">
        <f t="shared" si="5"/>
        <v>4400380.04</v>
      </c>
      <c r="H101" s="71"/>
      <c r="I101" s="42"/>
      <c r="J101" s="42"/>
    </row>
    <row r="102" spans="2:10" s="3" customFormat="1" ht="14.5" x14ac:dyDescent="0.35">
      <c r="B102" s="40">
        <v>16</v>
      </c>
      <c r="C102" s="38" t="s">
        <v>67</v>
      </c>
      <c r="D102" s="25">
        <v>68124.5</v>
      </c>
      <c r="E102" s="25">
        <v>0</v>
      </c>
      <c r="F102" s="47">
        <f t="shared" si="4"/>
        <v>68124.5</v>
      </c>
      <c r="G102" s="74">
        <f t="shared" si="5"/>
        <v>4468504.54</v>
      </c>
      <c r="H102" s="71"/>
      <c r="I102" s="42"/>
      <c r="J102" s="42"/>
    </row>
    <row r="103" spans="2:10" s="3" customFormat="1" ht="14.5" x14ac:dyDescent="0.35">
      <c r="B103" s="40">
        <v>17</v>
      </c>
      <c r="C103" s="38" t="s">
        <v>68</v>
      </c>
      <c r="D103" s="25">
        <v>96153</v>
      </c>
      <c r="E103" s="25">
        <v>0</v>
      </c>
      <c r="F103" s="47">
        <f t="shared" si="4"/>
        <v>96153</v>
      </c>
      <c r="G103" s="74">
        <f t="shared" si="5"/>
        <v>4564657.54</v>
      </c>
      <c r="H103" s="71"/>
      <c r="I103" s="42"/>
      <c r="J103" s="42"/>
    </row>
    <row r="104" spans="2:10" s="3" customFormat="1" ht="14.5" x14ac:dyDescent="0.35">
      <c r="B104" s="40">
        <v>18</v>
      </c>
      <c r="C104" s="38" t="s">
        <v>69</v>
      </c>
      <c r="D104" s="25">
        <v>77489</v>
      </c>
      <c r="E104" s="25">
        <v>0</v>
      </c>
      <c r="F104" s="47">
        <f t="shared" si="4"/>
        <v>77489</v>
      </c>
      <c r="G104" s="74">
        <f t="shared" si="5"/>
        <v>4642146.54</v>
      </c>
      <c r="H104" s="71"/>
      <c r="I104" s="42"/>
      <c r="J104" s="42"/>
    </row>
    <row r="105" spans="2:10" s="3" customFormat="1" ht="14.5" x14ac:dyDescent="0.35">
      <c r="B105" s="40">
        <v>19</v>
      </c>
      <c r="C105" s="38" t="s">
        <v>70</v>
      </c>
      <c r="D105" s="25">
        <v>15200</v>
      </c>
      <c r="E105" s="25">
        <v>0</v>
      </c>
      <c r="F105" s="47">
        <f t="shared" si="4"/>
        <v>15200</v>
      </c>
      <c r="G105" s="74">
        <f t="shared" si="5"/>
        <v>4657346.54</v>
      </c>
      <c r="H105" s="71"/>
      <c r="I105" s="42"/>
      <c r="J105" s="42"/>
    </row>
    <row r="106" spans="2:10" s="3" customFormat="1" ht="14.5" x14ac:dyDescent="0.35">
      <c r="B106" s="40">
        <v>20</v>
      </c>
      <c r="C106" s="38" t="s">
        <v>71</v>
      </c>
      <c r="D106" s="25">
        <v>0</v>
      </c>
      <c r="E106" s="25">
        <v>0</v>
      </c>
      <c r="F106" s="47">
        <f t="shared" si="4"/>
        <v>0</v>
      </c>
      <c r="G106" s="74">
        <f t="shared" si="5"/>
        <v>4657346.54</v>
      </c>
      <c r="H106" s="71"/>
      <c r="I106" s="42"/>
      <c r="J106" s="42"/>
    </row>
    <row r="107" spans="2:10" s="3" customFormat="1" ht="14.5" x14ac:dyDescent="0.35">
      <c r="B107" s="40">
        <v>21</v>
      </c>
      <c r="C107" s="38" t="s">
        <v>72</v>
      </c>
      <c r="D107" s="25">
        <v>7056.75</v>
      </c>
      <c r="E107" s="25">
        <v>0</v>
      </c>
      <c r="F107" s="47">
        <f t="shared" si="4"/>
        <v>7056.75</v>
      </c>
      <c r="G107" s="74">
        <f t="shared" si="5"/>
        <v>4664403.29</v>
      </c>
      <c r="H107" s="71"/>
      <c r="I107" s="42"/>
      <c r="J107" s="42"/>
    </row>
    <row r="108" spans="2:10" s="3" customFormat="1" ht="14.5" x14ac:dyDescent="0.35">
      <c r="B108" s="40">
        <v>22</v>
      </c>
      <c r="C108" s="38" t="s">
        <v>73</v>
      </c>
      <c r="D108" s="25">
        <v>82007</v>
      </c>
      <c r="E108" s="25">
        <v>0</v>
      </c>
      <c r="F108" s="47">
        <f t="shared" si="4"/>
        <v>82007</v>
      </c>
      <c r="G108" s="74">
        <f t="shared" si="5"/>
        <v>4746410.29</v>
      </c>
      <c r="H108" s="71"/>
      <c r="I108" s="42"/>
      <c r="J108" s="42"/>
    </row>
    <row r="109" spans="2:10" s="3" customFormat="1" ht="14.5" x14ac:dyDescent="0.35">
      <c r="B109" s="40">
        <v>23</v>
      </c>
      <c r="C109" s="38" t="s">
        <v>74</v>
      </c>
      <c r="D109" s="25">
        <v>0</v>
      </c>
      <c r="E109" s="25">
        <v>4968</v>
      </c>
      <c r="F109" s="47">
        <f t="shared" si="4"/>
        <v>4968</v>
      </c>
      <c r="G109" s="74">
        <f t="shared" si="5"/>
        <v>4751378.29</v>
      </c>
      <c r="H109" s="71"/>
      <c r="I109" s="42"/>
      <c r="J109" s="42"/>
    </row>
    <row r="110" spans="2:10" s="3" customFormat="1" ht="14.5" x14ac:dyDescent="0.35">
      <c r="B110" s="40">
        <v>24</v>
      </c>
      <c r="C110" s="38" t="s">
        <v>75</v>
      </c>
      <c r="D110" s="25">
        <v>0</v>
      </c>
      <c r="E110" s="25">
        <v>0</v>
      </c>
      <c r="F110" s="47">
        <f t="shared" si="4"/>
        <v>0</v>
      </c>
      <c r="G110" s="74">
        <f t="shared" si="5"/>
        <v>4751378.29</v>
      </c>
      <c r="H110" s="71"/>
      <c r="I110" s="42"/>
      <c r="J110" s="42"/>
    </row>
    <row r="111" spans="2:10" s="3" customFormat="1" ht="14.5" x14ac:dyDescent="0.35">
      <c r="B111" s="40">
        <v>25</v>
      </c>
      <c r="C111" s="77" t="s">
        <v>76</v>
      </c>
      <c r="D111" s="25">
        <v>0</v>
      </c>
      <c r="E111" s="25">
        <v>0</v>
      </c>
      <c r="F111" s="47">
        <f t="shared" si="4"/>
        <v>0</v>
      </c>
      <c r="G111" s="74">
        <f t="shared" si="5"/>
        <v>4751378.29</v>
      </c>
      <c r="H111" s="71"/>
      <c r="I111" s="42"/>
      <c r="J111" s="42"/>
    </row>
    <row r="112" spans="2:10" s="3" customFormat="1" ht="14.5" x14ac:dyDescent="0.35">
      <c r="B112" s="40">
        <v>26</v>
      </c>
      <c r="C112" s="77" t="s">
        <v>77</v>
      </c>
      <c r="D112" s="105">
        <v>0</v>
      </c>
      <c r="E112" s="106">
        <v>0</v>
      </c>
      <c r="F112" s="107">
        <f t="shared" si="4"/>
        <v>0</v>
      </c>
      <c r="G112" s="113">
        <f t="shared" si="5"/>
        <v>4751378.29</v>
      </c>
      <c r="H112" s="71"/>
      <c r="I112" s="42"/>
      <c r="J112" s="42"/>
    </row>
    <row r="113" spans="1:10" s="3" customFormat="1" ht="14.5" x14ac:dyDescent="0.35">
      <c r="B113" s="40">
        <v>27</v>
      </c>
      <c r="C113" s="38" t="s">
        <v>81</v>
      </c>
      <c r="D113" s="20">
        <v>0</v>
      </c>
      <c r="E113" s="20">
        <v>0</v>
      </c>
      <c r="F113" s="43">
        <f t="shared" si="4"/>
        <v>0</v>
      </c>
      <c r="G113" s="94">
        <f t="shared" si="5"/>
        <v>4751378.29</v>
      </c>
      <c r="H113" s="71"/>
      <c r="I113" s="42"/>
      <c r="J113" s="42"/>
    </row>
    <row r="114" spans="1:10" s="3" customFormat="1" ht="14.5" x14ac:dyDescent="0.35">
      <c r="B114" s="40">
        <v>28</v>
      </c>
      <c r="C114" s="77" t="s">
        <v>87</v>
      </c>
      <c r="D114" s="25">
        <v>0</v>
      </c>
      <c r="E114" s="25">
        <v>933746</v>
      </c>
      <c r="F114" s="47">
        <f t="shared" si="4"/>
        <v>933746</v>
      </c>
      <c r="G114" s="76">
        <f t="shared" si="5"/>
        <v>5685124.29</v>
      </c>
      <c r="H114" s="71"/>
      <c r="I114" s="42"/>
      <c r="J114" s="42"/>
    </row>
    <row r="115" spans="1:10" s="3" customFormat="1" ht="14.5" x14ac:dyDescent="0.35">
      <c r="B115" s="86"/>
      <c r="C115" s="87"/>
      <c r="D115" s="42"/>
      <c r="E115" s="42"/>
      <c r="F115" s="54"/>
      <c r="G115" s="42"/>
      <c r="H115" s="71"/>
      <c r="I115" s="42"/>
      <c r="J115" s="42"/>
    </row>
    <row r="116" spans="1:10" ht="14.5" x14ac:dyDescent="0.35">
      <c r="A116" s="3"/>
      <c r="B116" s="5" t="s">
        <v>52</v>
      </c>
      <c r="C116" s="78" t="s">
        <v>52</v>
      </c>
      <c r="D116" s="79" t="s">
        <v>52</v>
      </c>
      <c r="E116" s="79" t="s">
        <v>52</v>
      </c>
      <c r="F116" s="79" t="s">
        <v>52</v>
      </c>
      <c r="G116" s="79" t="s">
        <v>52</v>
      </c>
      <c r="H116" s="6" t="s">
        <v>52</v>
      </c>
      <c r="I116" s="3"/>
    </row>
    <row r="117" spans="1:10" ht="14.5" x14ac:dyDescent="0.35">
      <c r="A117" s="3"/>
      <c r="B117" s="8" t="s">
        <v>34</v>
      </c>
      <c r="C117" s="80"/>
      <c r="D117" s="79" t="s">
        <v>52</v>
      </c>
      <c r="E117" s="79" t="s">
        <v>52</v>
      </c>
      <c r="F117" s="79" t="s">
        <v>52</v>
      </c>
      <c r="G117" s="79" t="s">
        <v>52</v>
      </c>
      <c r="H117" s="6" t="s">
        <v>52</v>
      </c>
      <c r="I117" s="3"/>
    </row>
    <row r="118" spans="1:10" ht="14.5" x14ac:dyDescent="0.35">
      <c r="A118" s="3"/>
      <c r="B118" s="9" t="s">
        <v>35</v>
      </c>
      <c r="C118" s="5"/>
      <c r="D118" s="6"/>
      <c r="E118" s="6"/>
      <c r="F118" s="81"/>
      <c r="G118" s="81"/>
      <c r="H118" s="82"/>
      <c r="I118" s="3"/>
    </row>
    <row r="119" spans="1:10" ht="14.5" x14ac:dyDescent="0.35">
      <c r="A119" s="3"/>
      <c r="B119" s="9" t="s">
        <v>36</v>
      </c>
      <c r="C119" s="5"/>
      <c r="D119" s="6"/>
      <c r="E119" s="6"/>
      <c r="F119" s="81"/>
      <c r="G119" s="79" t="s">
        <v>52</v>
      </c>
      <c r="H119" s="6" t="s">
        <v>52</v>
      </c>
      <c r="I119" s="3"/>
    </row>
    <row r="120" spans="1:10" ht="14.5" x14ac:dyDescent="0.35">
      <c r="A120" s="3"/>
      <c r="B120" s="9" t="s">
        <v>37</v>
      </c>
      <c r="C120" s="5"/>
      <c r="D120" s="6"/>
      <c r="E120" s="6"/>
      <c r="F120" s="79" t="s">
        <v>52</v>
      </c>
      <c r="G120" s="79" t="s">
        <v>52</v>
      </c>
      <c r="H120" s="6" t="s">
        <v>52</v>
      </c>
      <c r="I120" s="3"/>
    </row>
    <row r="121" spans="1:10" ht="14.5" x14ac:dyDescent="0.35">
      <c r="A121" s="3"/>
      <c r="B121" s="3"/>
      <c r="C121" s="63"/>
      <c r="D121" s="64"/>
      <c r="E121" s="64"/>
      <c r="F121" s="64"/>
      <c r="G121" s="64"/>
      <c r="H121" s="39"/>
      <c r="I121" s="3"/>
    </row>
    <row r="122" spans="1:10" ht="14.5" x14ac:dyDescent="0.35">
      <c r="A122" s="3"/>
      <c r="B122" s="3"/>
      <c r="C122" s="63"/>
      <c r="D122" s="64"/>
      <c r="E122" s="64"/>
      <c r="F122" s="64"/>
      <c r="G122" s="64"/>
      <c r="H122" s="39"/>
      <c r="I122" s="3"/>
    </row>
    <row r="123" spans="1:10" ht="18.5" x14ac:dyDescent="0.45">
      <c r="A123" s="3"/>
      <c r="C123" s="83"/>
      <c r="D123" s="188" t="s">
        <v>41</v>
      </c>
      <c r="E123" s="188"/>
      <c r="F123" s="188"/>
      <c r="G123" s="188"/>
      <c r="H123" s="188"/>
      <c r="I123" s="3"/>
    </row>
    <row r="124" spans="1:10" ht="16" x14ac:dyDescent="0.4">
      <c r="A124" s="35"/>
      <c r="B124" s="26" t="s">
        <v>52</v>
      </c>
      <c r="C124" s="84" t="s">
        <v>52</v>
      </c>
      <c r="D124" s="189" t="s">
        <v>53</v>
      </c>
      <c r="E124" s="189"/>
      <c r="F124" s="189"/>
      <c r="G124" s="189"/>
      <c r="H124" s="189"/>
      <c r="I124" s="35"/>
    </row>
    <row r="125" spans="1:10" ht="15.9" customHeight="1" x14ac:dyDescent="0.4">
      <c r="A125" s="3"/>
      <c r="B125" s="128" t="s">
        <v>88</v>
      </c>
      <c r="C125" s="128"/>
      <c r="D125" s="128"/>
      <c r="E125" s="128"/>
      <c r="F125" s="128"/>
      <c r="G125" s="128"/>
      <c r="H125" s="128"/>
      <c r="I125" s="3"/>
    </row>
    <row r="126" spans="1:10" ht="14.5" x14ac:dyDescent="0.35">
      <c r="A126" s="3"/>
      <c r="B126" s="14"/>
      <c r="C126" s="15"/>
      <c r="D126" s="142" t="s">
        <v>6</v>
      </c>
      <c r="E126" s="142"/>
      <c r="F126" s="142"/>
      <c r="G126" s="142"/>
      <c r="H126" s="191" t="s">
        <v>52</v>
      </c>
      <c r="I126" s="3"/>
    </row>
    <row r="127" spans="1:10" ht="14.5" x14ac:dyDescent="0.35">
      <c r="A127" s="3"/>
      <c r="B127" s="12"/>
      <c r="C127" s="13"/>
      <c r="D127" s="145" t="s">
        <v>9</v>
      </c>
      <c r="E127" s="145"/>
      <c r="F127" s="145"/>
      <c r="G127" s="145"/>
      <c r="H127" s="191"/>
      <c r="I127" s="3"/>
    </row>
    <row r="128" spans="1:10" ht="14.5" x14ac:dyDescent="0.35">
      <c r="A128" s="3"/>
      <c r="B128" s="133" t="s">
        <v>10</v>
      </c>
      <c r="C128" s="135" t="s">
        <v>11</v>
      </c>
      <c r="D128" s="51" t="s">
        <v>12</v>
      </c>
      <c r="E128" s="51" t="s">
        <v>13</v>
      </c>
      <c r="F128" s="51" t="s">
        <v>14</v>
      </c>
      <c r="G128" s="66" t="s">
        <v>15</v>
      </c>
      <c r="H128" s="186" t="s">
        <v>52</v>
      </c>
      <c r="I128" s="3"/>
    </row>
    <row r="129" spans="1:10" ht="14.5" x14ac:dyDescent="0.35">
      <c r="A129" s="3"/>
      <c r="B129" s="133"/>
      <c r="C129" s="135"/>
      <c r="D129" s="154" t="s">
        <v>20</v>
      </c>
      <c r="E129" s="154"/>
      <c r="F129" s="154"/>
      <c r="G129" s="154"/>
      <c r="H129" s="186"/>
      <c r="I129" s="3"/>
    </row>
    <row r="130" spans="1:10" ht="14.5" x14ac:dyDescent="0.35">
      <c r="A130" s="3"/>
      <c r="B130" s="40">
        <v>4</v>
      </c>
      <c r="C130" s="67" t="s">
        <v>21</v>
      </c>
      <c r="D130" s="68">
        <v>50751</v>
      </c>
      <c r="E130" s="20">
        <v>0</v>
      </c>
      <c r="F130" s="69">
        <f>+D130</f>
        <v>50751</v>
      </c>
      <c r="G130" s="70">
        <f>+F130</f>
        <v>50751</v>
      </c>
      <c r="H130" s="71" t="s">
        <v>52</v>
      </c>
      <c r="I130" s="3"/>
    </row>
    <row r="131" spans="1:10" ht="14.5" x14ac:dyDescent="0.35">
      <c r="A131" s="3"/>
      <c r="B131" s="72">
        <v>5</v>
      </c>
      <c r="C131" s="73" t="s">
        <v>22</v>
      </c>
      <c r="D131" s="68">
        <v>15303.5</v>
      </c>
      <c r="E131" s="25">
        <v>0</v>
      </c>
      <c r="F131" s="69">
        <f>+D131</f>
        <v>15303.5</v>
      </c>
      <c r="G131" s="70">
        <f>+G130+F131</f>
        <v>66054.5</v>
      </c>
      <c r="H131" s="71" t="s">
        <v>52</v>
      </c>
      <c r="I131" s="3"/>
    </row>
    <row r="132" spans="1:10" ht="14.5" x14ac:dyDescent="0.35">
      <c r="A132" s="3"/>
      <c r="B132" s="72">
        <v>6</v>
      </c>
      <c r="C132" s="73" t="s">
        <v>23</v>
      </c>
      <c r="D132" s="68">
        <v>60629.5</v>
      </c>
      <c r="E132" s="25">
        <v>0</v>
      </c>
      <c r="F132" s="69">
        <f>+D132</f>
        <v>60629.5</v>
      </c>
      <c r="G132" s="70">
        <f>+G131+F132</f>
        <v>126684</v>
      </c>
      <c r="H132" s="71" t="s">
        <v>52</v>
      </c>
      <c r="I132" s="3"/>
    </row>
    <row r="133" spans="1:10" ht="14.5" x14ac:dyDescent="0.35">
      <c r="A133" s="3"/>
      <c r="B133" s="72">
        <v>7</v>
      </c>
      <c r="C133" s="73" t="s">
        <v>24</v>
      </c>
      <c r="D133" s="20">
        <v>0</v>
      </c>
      <c r="E133" s="25">
        <v>0</v>
      </c>
      <c r="F133" s="43">
        <v>0</v>
      </c>
      <c r="G133" s="70">
        <f>+G132+F133</f>
        <v>126684</v>
      </c>
      <c r="H133" s="71" t="s">
        <v>52</v>
      </c>
      <c r="I133" s="3"/>
    </row>
    <row r="134" spans="1:10" s="3" customFormat="1" ht="14.5" x14ac:dyDescent="0.35">
      <c r="B134" s="40">
        <v>8</v>
      </c>
      <c r="C134" s="38" t="s">
        <v>25</v>
      </c>
      <c r="D134" s="25">
        <v>23483.5</v>
      </c>
      <c r="E134" s="25">
        <v>0</v>
      </c>
      <c r="F134" s="47">
        <f t="shared" ref="F134:F154" si="6">+E134+D134</f>
        <v>23483.5</v>
      </c>
      <c r="G134" s="74">
        <f>+G133+F134</f>
        <v>150167.5</v>
      </c>
      <c r="H134" s="71"/>
      <c r="I134" s="10"/>
    </row>
    <row r="135" spans="1:10" s="3" customFormat="1" ht="14.5" x14ac:dyDescent="0.35">
      <c r="B135" s="40">
        <v>9</v>
      </c>
      <c r="C135" s="38" t="s">
        <v>26</v>
      </c>
      <c r="D135" s="25">
        <v>7788.5</v>
      </c>
      <c r="E135" s="25">
        <v>0</v>
      </c>
      <c r="F135" s="47">
        <f t="shared" si="6"/>
        <v>7788.5</v>
      </c>
      <c r="G135" s="74">
        <f t="shared" ref="G135:G154" si="7">+G134+F135</f>
        <v>157956</v>
      </c>
      <c r="H135" s="71"/>
      <c r="I135" s="42"/>
      <c r="J135" s="42"/>
    </row>
    <row r="136" spans="1:10" s="3" customFormat="1" ht="14.5" x14ac:dyDescent="0.35">
      <c r="B136" s="40">
        <v>10</v>
      </c>
      <c r="C136" s="38" t="s">
        <v>62</v>
      </c>
      <c r="D136" s="25">
        <v>0</v>
      </c>
      <c r="E136" s="25">
        <v>0</v>
      </c>
      <c r="F136" s="47">
        <f t="shared" si="6"/>
        <v>0</v>
      </c>
      <c r="G136" s="74">
        <f t="shared" si="7"/>
        <v>157956</v>
      </c>
      <c r="H136" s="71"/>
      <c r="I136" s="42"/>
      <c r="J136" s="42"/>
    </row>
    <row r="137" spans="1:10" s="3" customFormat="1" ht="14.5" x14ac:dyDescent="0.35">
      <c r="B137" s="40">
        <v>11</v>
      </c>
      <c r="C137" s="38" t="s">
        <v>63</v>
      </c>
      <c r="D137" s="25">
        <v>0</v>
      </c>
      <c r="E137" s="25">
        <v>0</v>
      </c>
      <c r="F137" s="47">
        <f t="shared" si="6"/>
        <v>0</v>
      </c>
      <c r="G137" s="74">
        <f>+G136+F137</f>
        <v>157956</v>
      </c>
      <c r="H137" s="71"/>
      <c r="I137" s="42"/>
      <c r="J137" s="42"/>
    </row>
    <row r="138" spans="1:10" s="3" customFormat="1" ht="14.5" x14ac:dyDescent="0.35">
      <c r="B138" s="40">
        <v>12</v>
      </c>
      <c r="C138" s="38" t="s">
        <v>78</v>
      </c>
      <c r="D138" s="25">
        <v>0</v>
      </c>
      <c r="E138" s="25">
        <v>0</v>
      </c>
      <c r="F138" s="47">
        <f t="shared" si="6"/>
        <v>0</v>
      </c>
      <c r="G138" s="74">
        <f t="shared" si="7"/>
        <v>157956</v>
      </c>
      <c r="H138" s="71"/>
      <c r="I138" s="42"/>
      <c r="J138" s="42"/>
    </row>
    <row r="139" spans="1:10" s="3" customFormat="1" ht="14.5" x14ac:dyDescent="0.35">
      <c r="B139" s="40">
        <v>13</v>
      </c>
      <c r="C139" s="38" t="s">
        <v>64</v>
      </c>
      <c r="D139" s="25">
        <v>0</v>
      </c>
      <c r="E139" s="25">
        <v>0</v>
      </c>
      <c r="F139" s="47">
        <f t="shared" si="6"/>
        <v>0</v>
      </c>
      <c r="G139" s="74">
        <f t="shared" si="7"/>
        <v>157956</v>
      </c>
      <c r="H139" s="71"/>
      <c r="I139" s="42"/>
      <c r="J139" s="42"/>
    </row>
    <row r="140" spans="1:10" s="3" customFormat="1" ht="15" customHeight="1" x14ac:dyDescent="0.35">
      <c r="B140" s="40">
        <v>14</v>
      </c>
      <c r="C140" s="58" t="s">
        <v>65</v>
      </c>
      <c r="D140" s="25">
        <v>0</v>
      </c>
      <c r="E140" s="25">
        <v>0</v>
      </c>
      <c r="F140" s="47">
        <f t="shared" si="6"/>
        <v>0</v>
      </c>
      <c r="G140" s="74">
        <f t="shared" si="7"/>
        <v>157956</v>
      </c>
      <c r="H140" s="71"/>
      <c r="I140" s="42"/>
      <c r="J140" s="42"/>
    </row>
    <row r="141" spans="1:10" s="3" customFormat="1" ht="14.5" x14ac:dyDescent="0.35">
      <c r="B141" s="40">
        <v>15</v>
      </c>
      <c r="C141" s="38" t="s">
        <v>66</v>
      </c>
      <c r="D141" s="25">
        <v>0</v>
      </c>
      <c r="E141" s="25">
        <v>0</v>
      </c>
      <c r="F141" s="47">
        <f t="shared" si="6"/>
        <v>0</v>
      </c>
      <c r="G141" s="74">
        <f t="shared" si="7"/>
        <v>157956</v>
      </c>
      <c r="H141" s="71"/>
      <c r="I141" s="42"/>
      <c r="J141" s="42"/>
    </row>
    <row r="142" spans="1:10" s="3" customFormat="1" ht="14.5" x14ac:dyDescent="0.35">
      <c r="B142" s="40">
        <v>16</v>
      </c>
      <c r="C142" s="38" t="s">
        <v>67</v>
      </c>
      <c r="D142" s="25">
        <v>0</v>
      </c>
      <c r="E142" s="25">
        <v>0</v>
      </c>
      <c r="F142" s="47">
        <f t="shared" si="6"/>
        <v>0</v>
      </c>
      <c r="G142" s="74">
        <f t="shared" si="7"/>
        <v>157956</v>
      </c>
      <c r="H142" s="71"/>
      <c r="I142" s="42"/>
      <c r="J142" s="42"/>
    </row>
    <row r="143" spans="1:10" s="3" customFormat="1" ht="14.5" x14ac:dyDescent="0.35">
      <c r="B143" s="40">
        <v>17</v>
      </c>
      <c r="C143" s="38" t="s">
        <v>68</v>
      </c>
      <c r="D143" s="25">
        <v>0</v>
      </c>
      <c r="E143" s="25">
        <v>0</v>
      </c>
      <c r="F143" s="47">
        <f t="shared" si="6"/>
        <v>0</v>
      </c>
      <c r="G143" s="74">
        <f t="shared" si="7"/>
        <v>157956</v>
      </c>
      <c r="H143" s="71"/>
      <c r="I143" s="42"/>
      <c r="J143" s="42"/>
    </row>
    <row r="144" spans="1:10" s="3" customFormat="1" ht="14.5" x14ac:dyDescent="0.35">
      <c r="B144" s="40">
        <v>18</v>
      </c>
      <c r="C144" s="38" t="s">
        <v>69</v>
      </c>
      <c r="D144" s="25">
        <v>0</v>
      </c>
      <c r="E144" s="25">
        <v>0</v>
      </c>
      <c r="F144" s="47">
        <f t="shared" si="6"/>
        <v>0</v>
      </c>
      <c r="G144" s="74">
        <f t="shared" si="7"/>
        <v>157956</v>
      </c>
      <c r="H144" s="71"/>
      <c r="I144" s="42"/>
      <c r="J144" s="42"/>
    </row>
    <row r="145" spans="1:10" s="3" customFormat="1" ht="14.5" x14ac:dyDescent="0.35">
      <c r="B145" s="40">
        <v>19</v>
      </c>
      <c r="C145" s="38" t="s">
        <v>70</v>
      </c>
      <c r="D145" s="25">
        <v>0</v>
      </c>
      <c r="E145" s="25">
        <v>0</v>
      </c>
      <c r="F145" s="47">
        <f t="shared" si="6"/>
        <v>0</v>
      </c>
      <c r="G145" s="74">
        <f t="shared" si="7"/>
        <v>157956</v>
      </c>
      <c r="H145" s="71"/>
      <c r="I145" s="42"/>
      <c r="J145" s="42"/>
    </row>
    <row r="146" spans="1:10" s="3" customFormat="1" ht="14.5" x14ac:dyDescent="0.35">
      <c r="B146" s="40">
        <v>20</v>
      </c>
      <c r="C146" s="38" t="s">
        <v>71</v>
      </c>
      <c r="D146" s="25">
        <v>0</v>
      </c>
      <c r="E146" s="25">
        <v>0</v>
      </c>
      <c r="F146" s="47">
        <f t="shared" si="6"/>
        <v>0</v>
      </c>
      <c r="G146" s="74">
        <f t="shared" si="7"/>
        <v>157956</v>
      </c>
      <c r="H146" s="71"/>
      <c r="I146" s="42"/>
      <c r="J146" s="42"/>
    </row>
    <row r="147" spans="1:10" s="3" customFormat="1" ht="14.5" x14ac:dyDescent="0.35">
      <c r="B147" s="40">
        <v>21</v>
      </c>
      <c r="C147" s="38" t="s">
        <v>72</v>
      </c>
      <c r="D147" s="25">
        <v>0</v>
      </c>
      <c r="E147" s="25">
        <v>0</v>
      </c>
      <c r="F147" s="47">
        <f t="shared" si="6"/>
        <v>0</v>
      </c>
      <c r="G147" s="74">
        <f t="shared" si="7"/>
        <v>157956</v>
      </c>
      <c r="H147" s="71"/>
      <c r="I147" s="42"/>
      <c r="J147" s="42"/>
    </row>
    <row r="148" spans="1:10" s="3" customFormat="1" ht="14.5" x14ac:dyDescent="0.35">
      <c r="B148" s="40">
        <v>22</v>
      </c>
      <c r="C148" s="38" t="s">
        <v>73</v>
      </c>
      <c r="D148" s="25">
        <v>0</v>
      </c>
      <c r="E148" s="25">
        <v>0</v>
      </c>
      <c r="F148" s="47">
        <f t="shared" si="6"/>
        <v>0</v>
      </c>
      <c r="G148" s="74">
        <f t="shared" si="7"/>
        <v>157956</v>
      </c>
      <c r="H148" s="71"/>
      <c r="I148" s="42"/>
      <c r="J148" s="42"/>
    </row>
    <row r="149" spans="1:10" s="3" customFormat="1" ht="14.5" x14ac:dyDescent="0.35">
      <c r="B149" s="40">
        <v>23</v>
      </c>
      <c r="C149" s="38" t="s">
        <v>74</v>
      </c>
      <c r="D149" s="25">
        <v>0</v>
      </c>
      <c r="E149" s="25">
        <v>0</v>
      </c>
      <c r="F149" s="47">
        <f t="shared" si="6"/>
        <v>0</v>
      </c>
      <c r="G149" s="74">
        <f t="shared" si="7"/>
        <v>157956</v>
      </c>
      <c r="H149" s="71"/>
      <c r="I149" s="42"/>
      <c r="J149" s="42"/>
    </row>
    <row r="150" spans="1:10" s="3" customFormat="1" ht="14.5" x14ac:dyDescent="0.35">
      <c r="B150" s="40">
        <v>24</v>
      </c>
      <c r="C150" s="38" t="s">
        <v>75</v>
      </c>
      <c r="D150" s="25">
        <v>0</v>
      </c>
      <c r="E150" s="25">
        <v>0</v>
      </c>
      <c r="F150" s="47">
        <f t="shared" si="6"/>
        <v>0</v>
      </c>
      <c r="G150" s="74">
        <f t="shared" si="7"/>
        <v>157956</v>
      </c>
      <c r="H150" s="71"/>
      <c r="I150" s="42"/>
      <c r="J150" s="42"/>
    </row>
    <row r="151" spans="1:10" s="3" customFormat="1" ht="14.5" x14ac:dyDescent="0.35">
      <c r="B151" s="40">
        <v>25</v>
      </c>
      <c r="C151" s="77" t="s">
        <v>76</v>
      </c>
      <c r="D151" s="25">
        <v>0</v>
      </c>
      <c r="E151" s="25">
        <v>0</v>
      </c>
      <c r="F151" s="47">
        <f t="shared" si="6"/>
        <v>0</v>
      </c>
      <c r="G151" s="74">
        <f t="shared" si="7"/>
        <v>157956</v>
      </c>
      <c r="H151" s="71"/>
      <c r="I151" s="42"/>
      <c r="J151" s="42"/>
    </row>
    <row r="152" spans="1:10" s="3" customFormat="1" ht="15" customHeight="1" x14ac:dyDescent="0.35">
      <c r="B152" s="40">
        <v>26</v>
      </c>
      <c r="C152" s="77" t="s">
        <v>77</v>
      </c>
      <c r="D152" s="105">
        <v>0</v>
      </c>
      <c r="E152" s="106">
        <v>0</v>
      </c>
      <c r="F152" s="107">
        <f t="shared" si="6"/>
        <v>0</v>
      </c>
      <c r="G152" s="113">
        <f t="shared" si="7"/>
        <v>157956</v>
      </c>
      <c r="H152" s="71"/>
      <c r="I152" s="42"/>
      <c r="J152" s="42"/>
    </row>
    <row r="153" spans="1:10" s="3" customFormat="1" ht="14.5" x14ac:dyDescent="0.35">
      <c r="B153" s="40">
        <v>27</v>
      </c>
      <c r="C153" s="38" t="s">
        <v>81</v>
      </c>
      <c r="D153" s="20">
        <v>0</v>
      </c>
      <c r="E153" s="20">
        <v>0</v>
      </c>
      <c r="F153" s="43">
        <f t="shared" si="6"/>
        <v>0</v>
      </c>
      <c r="G153" s="94">
        <f t="shared" si="7"/>
        <v>157956</v>
      </c>
      <c r="H153" s="71"/>
      <c r="I153" s="42"/>
      <c r="J153" s="42"/>
    </row>
    <row r="154" spans="1:10" s="3" customFormat="1" ht="14.5" x14ac:dyDescent="0.35">
      <c r="B154" s="40">
        <v>28</v>
      </c>
      <c r="C154" s="77" t="s">
        <v>87</v>
      </c>
      <c r="D154" s="25">
        <v>0</v>
      </c>
      <c r="E154" s="25">
        <v>0</v>
      </c>
      <c r="F154" s="47">
        <f t="shared" si="6"/>
        <v>0</v>
      </c>
      <c r="G154" s="76">
        <f t="shared" si="7"/>
        <v>157956</v>
      </c>
      <c r="H154" s="71"/>
      <c r="I154" s="42"/>
      <c r="J154" s="42"/>
    </row>
    <row r="155" spans="1:10" ht="14.5" x14ac:dyDescent="0.35">
      <c r="A155" s="3"/>
      <c r="B155" s="5" t="s">
        <v>52</v>
      </c>
      <c r="C155" s="78" t="s">
        <v>52</v>
      </c>
      <c r="D155" s="79" t="s">
        <v>52</v>
      </c>
      <c r="E155" s="79" t="s">
        <v>52</v>
      </c>
      <c r="F155" s="79" t="s">
        <v>52</v>
      </c>
      <c r="G155" s="79" t="s">
        <v>52</v>
      </c>
      <c r="H155" s="6" t="s">
        <v>52</v>
      </c>
      <c r="I155" s="3"/>
    </row>
    <row r="156" spans="1:10" ht="14.5" x14ac:dyDescent="0.35">
      <c r="A156" s="3"/>
      <c r="B156" s="8" t="s">
        <v>34</v>
      </c>
      <c r="C156" s="80"/>
      <c r="D156" s="79" t="s">
        <v>52</v>
      </c>
      <c r="E156" s="79" t="s">
        <v>52</v>
      </c>
      <c r="F156" s="79" t="s">
        <v>52</v>
      </c>
      <c r="G156" s="79" t="s">
        <v>52</v>
      </c>
      <c r="H156" s="6" t="s">
        <v>52</v>
      </c>
      <c r="I156" s="3"/>
    </row>
    <row r="157" spans="1:10" ht="14.5" x14ac:dyDescent="0.35">
      <c r="A157" s="3"/>
      <c r="B157" s="9" t="s">
        <v>35</v>
      </c>
      <c r="C157" s="5"/>
      <c r="D157" s="6"/>
      <c r="E157" s="6"/>
      <c r="F157" s="81"/>
      <c r="G157" s="81"/>
      <c r="H157" s="82"/>
      <c r="I157" s="3"/>
    </row>
    <row r="158" spans="1:10" ht="14.5" x14ac:dyDescent="0.35">
      <c r="A158" s="3"/>
      <c r="B158" s="9" t="s">
        <v>36</v>
      </c>
      <c r="C158" s="5"/>
      <c r="D158" s="6"/>
      <c r="E158" s="6"/>
      <c r="F158" s="81"/>
      <c r="G158" s="79" t="s">
        <v>52</v>
      </c>
      <c r="H158" s="6" t="s">
        <v>52</v>
      </c>
      <c r="I158" s="3"/>
    </row>
    <row r="159" spans="1:10" ht="14.5" x14ac:dyDescent="0.35">
      <c r="A159" s="3"/>
      <c r="B159" s="9" t="s">
        <v>37</v>
      </c>
      <c r="C159" s="5"/>
      <c r="D159" s="6"/>
      <c r="E159" s="6"/>
      <c r="F159" s="79" t="s">
        <v>52</v>
      </c>
      <c r="G159" s="79" t="s">
        <v>52</v>
      </c>
      <c r="H159" s="6" t="s">
        <v>52</v>
      </c>
      <c r="I159" s="3"/>
    </row>
    <row r="160" spans="1:10" ht="14.5" x14ac:dyDescent="0.35">
      <c r="A160" s="3"/>
      <c r="B160" s="3"/>
      <c r="C160" s="63"/>
      <c r="D160" s="64"/>
      <c r="E160" s="64"/>
      <c r="F160" s="64"/>
      <c r="G160" s="64"/>
      <c r="H160" s="39"/>
      <c r="I160" s="3"/>
    </row>
    <row r="161" spans="1:11" ht="14.5" x14ac:dyDescent="0.35">
      <c r="A161" s="3"/>
      <c r="B161" s="59" t="s">
        <v>54</v>
      </c>
      <c r="C161" s="60"/>
      <c r="D161" s="61"/>
      <c r="E161" s="61"/>
      <c r="F161" s="61"/>
      <c r="G161" s="61"/>
      <c r="H161" s="62"/>
      <c r="I161" s="3"/>
    </row>
    <row r="162" spans="1:11" ht="14.5" x14ac:dyDescent="0.35">
      <c r="A162" s="3"/>
      <c r="B162" s="59" t="s">
        <v>51</v>
      </c>
      <c r="C162" s="60"/>
      <c r="D162" s="61"/>
      <c r="E162" s="61" t="s">
        <v>52</v>
      </c>
      <c r="F162" s="61" t="s">
        <v>52</v>
      </c>
      <c r="G162" s="61" t="s">
        <v>52</v>
      </c>
      <c r="H162" s="62" t="s">
        <v>52</v>
      </c>
      <c r="I162" s="3"/>
    </row>
    <row r="163" spans="1:11" ht="14.5" x14ac:dyDescent="0.35">
      <c r="A163" s="3"/>
      <c r="B163" s="3"/>
      <c r="C163" s="63"/>
      <c r="D163" s="64"/>
      <c r="E163" s="64"/>
      <c r="F163" s="64"/>
      <c r="G163" s="64"/>
      <c r="H163" s="39"/>
      <c r="I163" s="3"/>
    </row>
    <row r="164" spans="1:11" ht="14.5" x14ac:dyDescent="0.35">
      <c r="A164" s="3"/>
      <c r="B164" s="3"/>
      <c r="C164" s="63"/>
      <c r="D164" s="64"/>
      <c r="E164" s="64"/>
      <c r="F164" s="64"/>
      <c r="G164" s="64"/>
      <c r="H164" s="39"/>
      <c r="I164" s="3"/>
    </row>
    <row r="165" spans="1:11" ht="16.5" customHeight="1" x14ac:dyDescent="0.45">
      <c r="A165" s="32"/>
      <c r="B165" s="33" t="s">
        <v>52</v>
      </c>
      <c r="C165" s="65" t="s">
        <v>52</v>
      </c>
      <c r="D165" s="197" t="s">
        <v>55</v>
      </c>
      <c r="E165" s="197"/>
      <c r="F165" s="197"/>
      <c r="G165" s="197"/>
      <c r="H165" s="197"/>
      <c r="I165" s="2" t="s">
        <v>0</v>
      </c>
    </row>
    <row r="166" spans="1:11" ht="15.9" customHeight="1" x14ac:dyDescent="0.4">
      <c r="A166" s="3"/>
      <c r="B166" s="128" t="s">
        <v>88</v>
      </c>
      <c r="C166" s="128"/>
      <c r="D166" s="128"/>
      <c r="E166" s="128"/>
      <c r="F166" s="128"/>
      <c r="G166" s="128"/>
      <c r="H166" s="128"/>
      <c r="I166" s="2" t="s">
        <v>1</v>
      </c>
    </row>
    <row r="167" spans="1:11" ht="14.5" x14ac:dyDescent="0.35">
      <c r="A167" s="3"/>
      <c r="B167" s="14"/>
      <c r="C167" s="15"/>
      <c r="D167" s="142" t="s">
        <v>6</v>
      </c>
      <c r="E167" s="142"/>
      <c r="F167" s="142"/>
      <c r="G167" s="142"/>
      <c r="H167" s="191" t="s">
        <v>52</v>
      </c>
      <c r="I167" s="2" t="s">
        <v>2</v>
      </c>
    </row>
    <row r="168" spans="1:11" ht="14.5" x14ac:dyDescent="0.35">
      <c r="A168" s="3"/>
      <c r="B168" s="12"/>
      <c r="C168" s="13"/>
      <c r="D168" s="145" t="s">
        <v>9</v>
      </c>
      <c r="E168" s="145"/>
      <c r="F168" s="145"/>
      <c r="G168" s="145"/>
      <c r="H168" s="191"/>
      <c r="I168" s="2" t="s">
        <v>3</v>
      </c>
    </row>
    <row r="169" spans="1:11" ht="14.5" x14ac:dyDescent="0.35">
      <c r="A169" s="3"/>
      <c r="B169" s="133" t="s">
        <v>10</v>
      </c>
      <c r="C169" s="135" t="s">
        <v>11</v>
      </c>
      <c r="D169" s="51" t="s">
        <v>12</v>
      </c>
      <c r="E169" s="51" t="s">
        <v>13</v>
      </c>
      <c r="F169" s="51" t="s">
        <v>14</v>
      </c>
      <c r="G169" s="66" t="s">
        <v>15</v>
      </c>
      <c r="H169" s="186" t="s">
        <v>52</v>
      </c>
      <c r="I169" s="2" t="s">
        <v>4</v>
      </c>
    </row>
    <row r="170" spans="1:11" ht="14.5" x14ac:dyDescent="0.35">
      <c r="A170" s="3"/>
      <c r="B170" s="133"/>
      <c r="C170" s="135"/>
      <c r="D170" s="154" t="s">
        <v>20</v>
      </c>
      <c r="E170" s="154"/>
      <c r="F170" s="154"/>
      <c r="G170" s="154"/>
      <c r="H170" s="186"/>
      <c r="I170" s="3"/>
    </row>
    <row r="171" spans="1:11" ht="14.5" x14ac:dyDescent="0.35">
      <c r="A171" s="3"/>
      <c r="B171" s="40">
        <v>4</v>
      </c>
      <c r="C171" s="67" t="s">
        <v>21</v>
      </c>
      <c r="D171" s="68">
        <v>54998.5</v>
      </c>
      <c r="E171" s="25">
        <v>0</v>
      </c>
      <c r="F171" s="69">
        <f>+E171+D171</f>
        <v>54998.5</v>
      </c>
      <c r="G171" s="70">
        <f>+F171</f>
        <v>54998.5</v>
      </c>
      <c r="H171" s="71" t="s">
        <v>52</v>
      </c>
      <c r="I171" s="3"/>
    </row>
    <row r="172" spans="1:11" ht="14.5" x14ac:dyDescent="0.35">
      <c r="A172" s="3"/>
      <c r="B172" s="72">
        <v>5</v>
      </c>
      <c r="C172" s="73" t="s">
        <v>22</v>
      </c>
      <c r="D172" s="68">
        <v>284978.8</v>
      </c>
      <c r="E172" s="25">
        <v>0</v>
      </c>
      <c r="F172" s="69">
        <f>+E172+D172</f>
        <v>284978.8</v>
      </c>
      <c r="G172" s="70">
        <f>+G171+F172</f>
        <v>339977.3</v>
      </c>
      <c r="H172" s="71" t="s">
        <v>52</v>
      </c>
      <c r="I172" s="3"/>
    </row>
    <row r="173" spans="1:11" ht="14.5" x14ac:dyDescent="0.35">
      <c r="A173" s="3"/>
      <c r="B173" s="72">
        <v>6</v>
      </c>
      <c r="C173" s="73" t="s">
        <v>23</v>
      </c>
      <c r="D173" s="68">
        <v>180407</v>
      </c>
      <c r="E173" s="25">
        <v>0</v>
      </c>
      <c r="F173" s="69">
        <f>+E173+D173</f>
        <v>180407</v>
      </c>
      <c r="G173" s="70">
        <f>+G172+F173</f>
        <v>520384.3</v>
      </c>
      <c r="H173" s="71" t="s">
        <v>52</v>
      </c>
      <c r="I173" s="3"/>
    </row>
    <row r="174" spans="1:11" ht="14.5" x14ac:dyDescent="0.35">
      <c r="A174" s="3"/>
      <c r="B174" s="72">
        <v>7</v>
      </c>
      <c r="C174" s="73" t="s">
        <v>24</v>
      </c>
      <c r="D174" s="68">
        <v>315354.52</v>
      </c>
      <c r="E174" s="25">
        <v>33701</v>
      </c>
      <c r="F174" s="69">
        <f>+E174+D174</f>
        <v>349055.52</v>
      </c>
      <c r="G174" s="70">
        <f>+G173+F174</f>
        <v>869439.82000000007</v>
      </c>
      <c r="H174" s="71" t="s">
        <v>52</v>
      </c>
      <c r="I174" s="3"/>
    </row>
    <row r="175" spans="1:11" ht="14.5" x14ac:dyDescent="0.35">
      <c r="A175" s="3"/>
      <c r="B175" s="40">
        <v>8</v>
      </c>
      <c r="C175" s="38" t="s">
        <v>25</v>
      </c>
      <c r="D175" s="25">
        <v>291774.5</v>
      </c>
      <c r="E175" s="25">
        <v>0</v>
      </c>
      <c r="F175" s="69">
        <f>+E175+D175</f>
        <v>291774.5</v>
      </c>
      <c r="G175" s="74">
        <f>+G174+F175</f>
        <v>1161214.32</v>
      </c>
      <c r="H175" s="71"/>
      <c r="I175" s="10"/>
      <c r="J175" s="3"/>
      <c r="K175" s="3"/>
    </row>
    <row r="176" spans="1:11" s="3" customFormat="1" ht="14.5" x14ac:dyDescent="0.35">
      <c r="B176" s="40">
        <v>9</v>
      </c>
      <c r="C176" s="38" t="s">
        <v>26</v>
      </c>
      <c r="D176" s="25">
        <v>159144.5</v>
      </c>
      <c r="E176" s="25">
        <v>0</v>
      </c>
      <c r="F176" s="47">
        <f t="shared" ref="F176:F195" si="8">+E176+D176</f>
        <v>159144.5</v>
      </c>
      <c r="G176" s="74">
        <f t="shared" ref="G176:G195" si="9">+G175+F176</f>
        <v>1320358.82</v>
      </c>
      <c r="H176" s="71"/>
      <c r="I176" s="42"/>
      <c r="J176" s="42"/>
    </row>
    <row r="177" spans="2:10" s="3" customFormat="1" ht="14.5" x14ac:dyDescent="0.35">
      <c r="B177" s="40">
        <v>10</v>
      </c>
      <c r="C177" s="38" t="s">
        <v>62</v>
      </c>
      <c r="D177" s="25">
        <v>1295644.01</v>
      </c>
      <c r="E177" s="25">
        <f>29489.51-20</f>
        <v>29469.51</v>
      </c>
      <c r="F177" s="47">
        <f>+E177+D177</f>
        <v>1325113.52</v>
      </c>
      <c r="G177" s="74">
        <f>+G176+F177</f>
        <v>2645472.34</v>
      </c>
      <c r="H177" s="71"/>
      <c r="I177" s="42"/>
      <c r="J177" s="42"/>
    </row>
    <row r="178" spans="2:10" s="3" customFormat="1" ht="14.5" x14ac:dyDescent="0.35">
      <c r="B178" s="40">
        <v>11</v>
      </c>
      <c r="C178" s="38" t="s">
        <v>63</v>
      </c>
      <c r="D178" s="25">
        <v>291293.5</v>
      </c>
      <c r="E178" s="25">
        <v>0</v>
      </c>
      <c r="F178" s="47">
        <f t="shared" si="8"/>
        <v>291293.5</v>
      </c>
      <c r="G178" s="74">
        <f>+G177+F178</f>
        <v>2936765.84</v>
      </c>
      <c r="H178" s="71"/>
      <c r="I178" s="42"/>
      <c r="J178" s="42"/>
    </row>
    <row r="179" spans="2:10" s="3" customFormat="1" ht="14.5" x14ac:dyDescent="0.35">
      <c r="B179" s="40">
        <v>12</v>
      </c>
      <c r="C179" s="38" t="s">
        <v>78</v>
      </c>
      <c r="D179" s="25">
        <v>431881</v>
      </c>
      <c r="E179" s="25">
        <v>0</v>
      </c>
      <c r="F179" s="47">
        <f t="shared" si="8"/>
        <v>431881</v>
      </c>
      <c r="G179" s="74">
        <f t="shared" si="9"/>
        <v>3368646.84</v>
      </c>
      <c r="H179" s="71"/>
      <c r="I179" s="42"/>
      <c r="J179" s="42"/>
    </row>
    <row r="180" spans="2:10" s="3" customFormat="1" ht="14.5" x14ac:dyDescent="0.35">
      <c r="B180" s="40">
        <v>13</v>
      </c>
      <c r="C180" s="38" t="s">
        <v>64</v>
      </c>
      <c r="D180" s="25">
        <v>269828</v>
      </c>
      <c r="E180" s="25">
        <v>0</v>
      </c>
      <c r="F180" s="47">
        <f t="shared" si="8"/>
        <v>269828</v>
      </c>
      <c r="G180" s="74">
        <f t="shared" si="9"/>
        <v>3638474.84</v>
      </c>
      <c r="H180" s="71"/>
      <c r="I180" s="42"/>
      <c r="J180" s="42"/>
    </row>
    <row r="181" spans="2:10" s="3" customFormat="1" ht="15.65" customHeight="1" x14ac:dyDescent="0.35">
      <c r="B181" s="40">
        <v>14</v>
      </c>
      <c r="C181" s="58" t="s">
        <v>65</v>
      </c>
      <c r="D181" s="25">
        <v>168135</v>
      </c>
      <c r="E181" s="25">
        <v>0</v>
      </c>
      <c r="F181" s="47">
        <f t="shared" si="8"/>
        <v>168135</v>
      </c>
      <c r="G181" s="74">
        <f t="shared" si="9"/>
        <v>3806609.84</v>
      </c>
      <c r="H181" s="71"/>
      <c r="I181" s="42"/>
      <c r="J181" s="42"/>
    </row>
    <row r="182" spans="2:10" s="3" customFormat="1" ht="14.5" x14ac:dyDescent="0.35">
      <c r="B182" s="40">
        <v>15</v>
      </c>
      <c r="C182" s="38" t="s">
        <v>66</v>
      </c>
      <c r="D182" s="25">
        <v>180523</v>
      </c>
      <c r="E182" s="25">
        <v>0</v>
      </c>
      <c r="F182" s="47">
        <f t="shared" si="8"/>
        <v>180523</v>
      </c>
      <c r="G182" s="74">
        <f t="shared" si="9"/>
        <v>3987132.84</v>
      </c>
      <c r="H182" s="71"/>
      <c r="I182" s="42"/>
      <c r="J182" s="42"/>
    </row>
    <row r="183" spans="2:10" s="3" customFormat="1" ht="14.5" x14ac:dyDescent="0.35">
      <c r="B183" s="40">
        <v>16</v>
      </c>
      <c r="C183" s="38" t="s">
        <v>67</v>
      </c>
      <c r="D183" s="25">
        <v>170049</v>
      </c>
      <c r="E183" s="25">
        <v>0</v>
      </c>
      <c r="F183" s="47">
        <f t="shared" si="8"/>
        <v>170049</v>
      </c>
      <c r="G183" s="74">
        <f t="shared" si="9"/>
        <v>4157181.84</v>
      </c>
      <c r="H183" s="71"/>
      <c r="I183" s="42"/>
      <c r="J183" s="42"/>
    </row>
    <row r="184" spans="2:10" s="3" customFormat="1" ht="14.5" x14ac:dyDescent="0.35">
      <c r="B184" s="40">
        <v>17</v>
      </c>
      <c r="C184" s="38" t="s">
        <v>68</v>
      </c>
      <c r="D184" s="25">
        <v>43547.5</v>
      </c>
      <c r="E184" s="25">
        <v>0</v>
      </c>
      <c r="F184" s="47">
        <f t="shared" si="8"/>
        <v>43547.5</v>
      </c>
      <c r="G184" s="74">
        <f t="shared" si="9"/>
        <v>4200729.34</v>
      </c>
      <c r="H184" s="71"/>
      <c r="I184" s="42"/>
      <c r="J184" s="42"/>
    </row>
    <row r="185" spans="2:10" s="3" customFormat="1" ht="14.5" x14ac:dyDescent="0.35">
      <c r="B185" s="40">
        <v>18</v>
      </c>
      <c r="C185" s="38" t="s">
        <v>69</v>
      </c>
      <c r="D185" s="25">
        <v>0</v>
      </c>
      <c r="E185" s="25">
        <v>0</v>
      </c>
      <c r="F185" s="47">
        <f t="shared" si="8"/>
        <v>0</v>
      </c>
      <c r="G185" s="74">
        <f t="shared" si="9"/>
        <v>4200729.34</v>
      </c>
      <c r="H185" s="71"/>
      <c r="I185" s="42"/>
      <c r="J185" s="42"/>
    </row>
    <row r="186" spans="2:10" s="3" customFormat="1" ht="14.5" x14ac:dyDescent="0.35">
      <c r="B186" s="40">
        <v>19</v>
      </c>
      <c r="C186" s="38" t="s">
        <v>70</v>
      </c>
      <c r="D186" s="25">
        <v>7942</v>
      </c>
      <c r="E186" s="25">
        <v>0</v>
      </c>
      <c r="F186" s="47">
        <f t="shared" si="8"/>
        <v>7942</v>
      </c>
      <c r="G186" s="74">
        <f t="shared" si="9"/>
        <v>4208671.34</v>
      </c>
      <c r="H186" s="71"/>
      <c r="I186" s="42"/>
      <c r="J186" s="42"/>
    </row>
    <row r="187" spans="2:10" s="3" customFormat="1" ht="14.5" x14ac:dyDescent="0.35">
      <c r="B187" s="40">
        <v>20</v>
      </c>
      <c r="C187" s="38" t="s">
        <v>71</v>
      </c>
      <c r="D187" s="25">
        <v>3889</v>
      </c>
      <c r="E187" s="25">
        <v>0</v>
      </c>
      <c r="F187" s="47">
        <f t="shared" si="8"/>
        <v>3889</v>
      </c>
      <c r="G187" s="74">
        <f t="shared" si="9"/>
        <v>4212560.34</v>
      </c>
      <c r="H187" s="71"/>
      <c r="I187" s="42"/>
      <c r="J187" s="42"/>
    </row>
    <row r="188" spans="2:10" s="3" customFormat="1" ht="13.75" customHeight="1" x14ac:dyDescent="0.35">
      <c r="B188" s="40">
        <v>21</v>
      </c>
      <c r="C188" s="38" t="s">
        <v>72</v>
      </c>
      <c r="D188" s="25">
        <v>3154.5</v>
      </c>
      <c r="E188" s="25">
        <v>0</v>
      </c>
      <c r="F188" s="47">
        <f t="shared" si="8"/>
        <v>3154.5</v>
      </c>
      <c r="G188" s="74">
        <f t="shared" si="9"/>
        <v>4215714.84</v>
      </c>
      <c r="H188" s="71"/>
      <c r="I188" s="42"/>
      <c r="J188" s="42"/>
    </row>
    <row r="189" spans="2:10" s="3" customFormat="1" ht="13.75" customHeight="1" x14ac:dyDescent="0.35">
      <c r="B189" s="40">
        <v>22</v>
      </c>
      <c r="C189" s="38" t="s">
        <v>73</v>
      </c>
      <c r="D189" s="25">
        <v>20714.5</v>
      </c>
      <c r="E189" s="25">
        <v>0</v>
      </c>
      <c r="F189" s="47">
        <f t="shared" si="8"/>
        <v>20714.5</v>
      </c>
      <c r="G189" s="74">
        <f t="shared" si="9"/>
        <v>4236429.34</v>
      </c>
      <c r="H189" s="71"/>
      <c r="I189" s="42"/>
      <c r="J189" s="42"/>
    </row>
    <row r="190" spans="2:10" s="3" customFormat="1" ht="13.75" customHeight="1" x14ac:dyDescent="0.35">
      <c r="B190" s="40">
        <v>23</v>
      </c>
      <c r="C190" s="38" t="s">
        <v>74</v>
      </c>
      <c r="D190" s="25">
        <v>78694</v>
      </c>
      <c r="E190" s="25">
        <v>0</v>
      </c>
      <c r="F190" s="47">
        <f t="shared" si="8"/>
        <v>78694</v>
      </c>
      <c r="G190" s="74">
        <f t="shared" si="9"/>
        <v>4315123.34</v>
      </c>
      <c r="H190" s="71"/>
      <c r="I190" s="42"/>
      <c r="J190" s="42"/>
    </row>
    <row r="191" spans="2:10" s="3" customFormat="1" ht="13.75" customHeight="1" x14ac:dyDescent="0.35">
      <c r="B191" s="40">
        <v>24</v>
      </c>
      <c r="C191" s="38" t="s">
        <v>75</v>
      </c>
      <c r="D191" s="25">
        <v>2839.5</v>
      </c>
      <c r="E191" s="25">
        <v>0</v>
      </c>
      <c r="F191" s="47">
        <f t="shared" si="8"/>
        <v>2839.5</v>
      </c>
      <c r="G191" s="74">
        <f t="shared" si="9"/>
        <v>4317962.84</v>
      </c>
      <c r="H191" s="71"/>
      <c r="I191" s="42"/>
      <c r="J191" s="42"/>
    </row>
    <row r="192" spans="2:10" s="3" customFormat="1" ht="13.75" customHeight="1" x14ac:dyDescent="0.35">
      <c r="B192" s="40">
        <v>25</v>
      </c>
      <c r="C192" s="77" t="s">
        <v>76</v>
      </c>
      <c r="D192" s="25">
        <v>11389</v>
      </c>
      <c r="E192" s="25">
        <v>0</v>
      </c>
      <c r="F192" s="47">
        <f t="shared" si="8"/>
        <v>11389</v>
      </c>
      <c r="G192" s="74">
        <f t="shared" si="9"/>
        <v>4329351.84</v>
      </c>
      <c r="H192" s="71"/>
      <c r="I192" s="42"/>
      <c r="J192" s="42"/>
    </row>
    <row r="193" spans="1:11" s="3" customFormat="1" ht="13.75" customHeight="1" x14ac:dyDescent="0.35">
      <c r="B193" s="40">
        <v>26</v>
      </c>
      <c r="C193" s="77" t="s">
        <v>77</v>
      </c>
      <c r="D193" s="105">
        <v>9668.5</v>
      </c>
      <c r="E193" s="106">
        <v>0</v>
      </c>
      <c r="F193" s="107">
        <f t="shared" si="8"/>
        <v>9668.5</v>
      </c>
      <c r="G193" s="113">
        <f t="shared" si="9"/>
        <v>4339020.34</v>
      </c>
      <c r="H193" s="71"/>
      <c r="I193" s="42"/>
      <c r="J193" s="42"/>
    </row>
    <row r="194" spans="1:11" s="3" customFormat="1" ht="14.5" x14ac:dyDescent="0.35">
      <c r="B194" s="40">
        <v>27</v>
      </c>
      <c r="C194" s="38" t="s">
        <v>81</v>
      </c>
      <c r="D194" s="20">
        <v>0</v>
      </c>
      <c r="E194" s="20">
        <v>0</v>
      </c>
      <c r="F194" s="43">
        <f t="shared" si="8"/>
        <v>0</v>
      </c>
      <c r="G194" s="94">
        <f t="shared" si="9"/>
        <v>4339020.34</v>
      </c>
      <c r="H194" s="71"/>
      <c r="I194" s="42"/>
      <c r="J194" s="42"/>
    </row>
    <row r="195" spans="1:11" s="3" customFormat="1" ht="14.5" x14ac:dyDescent="0.35">
      <c r="B195" s="40">
        <v>28</v>
      </c>
      <c r="C195" s="77" t="s">
        <v>87</v>
      </c>
      <c r="D195" s="25">
        <v>0</v>
      </c>
      <c r="E195" s="25">
        <v>-600909</v>
      </c>
      <c r="F195" s="47">
        <f t="shared" si="8"/>
        <v>-600909</v>
      </c>
      <c r="G195" s="76">
        <f t="shared" si="9"/>
        <v>3738111.34</v>
      </c>
      <c r="H195" s="71"/>
      <c r="I195" s="42"/>
      <c r="J195" s="42"/>
    </row>
    <row r="196" spans="1:11" ht="13.75" customHeight="1" x14ac:dyDescent="0.35">
      <c r="A196" s="3"/>
      <c r="B196" s="86"/>
      <c r="C196" s="87"/>
      <c r="D196" s="42"/>
      <c r="E196" s="42"/>
      <c r="F196" s="88"/>
      <c r="G196" s="42"/>
      <c r="H196" s="71"/>
      <c r="I196" s="42"/>
      <c r="J196" s="3"/>
      <c r="K196" s="3"/>
    </row>
    <row r="197" spans="1:11" ht="14.5" x14ac:dyDescent="0.35">
      <c r="A197" s="3"/>
      <c r="B197" s="8" t="s">
        <v>34</v>
      </c>
      <c r="C197" s="80"/>
      <c r="D197" s="79" t="s">
        <v>52</v>
      </c>
      <c r="E197" s="79" t="s">
        <v>52</v>
      </c>
      <c r="F197" s="79" t="s">
        <v>52</v>
      </c>
      <c r="G197" s="79" t="s">
        <v>52</v>
      </c>
      <c r="H197" s="6" t="s">
        <v>52</v>
      </c>
      <c r="I197" s="3"/>
    </row>
    <row r="198" spans="1:11" ht="14.5" x14ac:dyDescent="0.35">
      <c r="A198" s="3"/>
      <c r="B198" s="9" t="s">
        <v>35</v>
      </c>
      <c r="C198" s="5"/>
      <c r="D198" s="6"/>
      <c r="E198" s="6"/>
      <c r="F198" s="81"/>
      <c r="G198" s="81"/>
      <c r="H198" s="82"/>
      <c r="I198" s="3"/>
    </row>
    <row r="199" spans="1:11" ht="14.5" x14ac:dyDescent="0.35">
      <c r="A199" s="3"/>
      <c r="B199" s="9" t="s">
        <v>36</v>
      </c>
      <c r="C199" s="5"/>
      <c r="D199" s="6"/>
      <c r="E199" s="6"/>
      <c r="F199" s="81"/>
      <c r="G199" s="79" t="s">
        <v>52</v>
      </c>
      <c r="H199" s="6" t="s">
        <v>52</v>
      </c>
      <c r="I199" s="3"/>
    </row>
    <row r="200" spans="1:11" ht="14.5" x14ac:dyDescent="0.35">
      <c r="A200" s="3"/>
      <c r="B200" s="9" t="s">
        <v>37</v>
      </c>
      <c r="C200" s="5"/>
      <c r="D200" s="6"/>
      <c r="E200" s="6"/>
      <c r="F200" s="79" t="s">
        <v>52</v>
      </c>
      <c r="G200" s="79" t="s">
        <v>52</v>
      </c>
      <c r="H200" s="6" t="s">
        <v>52</v>
      </c>
      <c r="I200" s="3"/>
    </row>
    <row r="201" spans="1:11" ht="14.5" x14ac:dyDescent="0.35">
      <c r="A201" s="3"/>
      <c r="B201" s="9" t="s">
        <v>52</v>
      </c>
      <c r="C201" s="78" t="s">
        <v>52</v>
      </c>
      <c r="D201" s="79" t="s">
        <v>52</v>
      </c>
      <c r="E201" s="79" t="s">
        <v>52</v>
      </c>
      <c r="F201" s="79" t="s">
        <v>52</v>
      </c>
      <c r="G201" s="79" t="s">
        <v>52</v>
      </c>
      <c r="H201" s="6" t="s">
        <v>52</v>
      </c>
      <c r="I201" s="3"/>
    </row>
    <row r="202" spans="1:11" ht="14.5" x14ac:dyDescent="0.35">
      <c r="A202" s="3"/>
      <c r="B202" s="9" t="s">
        <v>52</v>
      </c>
      <c r="C202" s="78" t="s">
        <v>52</v>
      </c>
      <c r="D202" s="79" t="s">
        <v>52</v>
      </c>
      <c r="E202" s="79" t="s">
        <v>52</v>
      </c>
      <c r="F202" s="79" t="s">
        <v>52</v>
      </c>
      <c r="G202" s="79" t="s">
        <v>52</v>
      </c>
      <c r="H202" s="6" t="s">
        <v>52</v>
      </c>
      <c r="I202" s="3"/>
    </row>
    <row r="203" spans="1:11" ht="18.5" x14ac:dyDescent="0.45">
      <c r="A203" s="3"/>
      <c r="C203" s="83"/>
      <c r="D203" s="195" t="s">
        <v>38</v>
      </c>
      <c r="E203" s="195"/>
      <c r="F203" s="195"/>
      <c r="G203" s="195"/>
      <c r="H203" s="195"/>
      <c r="I203" s="3"/>
    </row>
    <row r="204" spans="1:11" ht="16" x14ac:dyDescent="0.4">
      <c r="A204" s="35"/>
      <c r="B204" s="26" t="s">
        <v>52</v>
      </c>
      <c r="C204" s="84" t="s">
        <v>52</v>
      </c>
      <c r="D204" s="196" t="s">
        <v>55</v>
      </c>
      <c r="E204" s="196"/>
      <c r="F204" s="196"/>
      <c r="G204" s="196"/>
      <c r="H204" s="196"/>
      <c r="I204" s="35"/>
    </row>
    <row r="205" spans="1:11" ht="15.9" customHeight="1" x14ac:dyDescent="0.4">
      <c r="A205" s="3"/>
      <c r="B205" s="128" t="s">
        <v>88</v>
      </c>
      <c r="C205" s="128"/>
      <c r="D205" s="128"/>
      <c r="E205" s="128"/>
      <c r="F205" s="128"/>
      <c r="G205" s="128"/>
      <c r="H205" s="128"/>
      <c r="I205" s="3"/>
    </row>
    <row r="206" spans="1:11" ht="14.5" x14ac:dyDescent="0.35">
      <c r="A206" s="3"/>
      <c r="B206" s="14"/>
      <c r="C206" s="15"/>
      <c r="D206" s="142" t="s">
        <v>6</v>
      </c>
      <c r="E206" s="142"/>
      <c r="F206" s="142"/>
      <c r="G206" s="142"/>
      <c r="H206" s="191" t="s">
        <v>52</v>
      </c>
      <c r="I206" s="3"/>
    </row>
    <row r="207" spans="1:11" ht="14.5" x14ac:dyDescent="0.35">
      <c r="A207" s="3"/>
      <c r="B207" s="12"/>
      <c r="C207" s="13"/>
      <c r="D207" s="145" t="s">
        <v>9</v>
      </c>
      <c r="E207" s="145"/>
      <c r="F207" s="145"/>
      <c r="G207" s="145"/>
      <c r="H207" s="191"/>
      <c r="I207" s="3"/>
    </row>
    <row r="208" spans="1:11" ht="14.5" x14ac:dyDescent="0.35">
      <c r="A208" s="3"/>
      <c r="B208" s="133" t="s">
        <v>10</v>
      </c>
      <c r="C208" s="135" t="s">
        <v>11</v>
      </c>
      <c r="D208" s="51" t="s">
        <v>12</v>
      </c>
      <c r="E208" s="51" t="s">
        <v>13</v>
      </c>
      <c r="F208" s="51" t="s">
        <v>14</v>
      </c>
      <c r="G208" s="66" t="s">
        <v>15</v>
      </c>
      <c r="H208" s="186" t="s">
        <v>52</v>
      </c>
      <c r="I208" s="3"/>
    </row>
    <row r="209" spans="1:11" ht="14.5" x14ac:dyDescent="0.35">
      <c r="A209" s="3"/>
      <c r="B209" s="133"/>
      <c r="C209" s="135"/>
      <c r="D209" s="154" t="s">
        <v>20</v>
      </c>
      <c r="E209" s="154"/>
      <c r="F209" s="154"/>
      <c r="G209" s="154"/>
      <c r="H209" s="186"/>
      <c r="I209" s="3"/>
    </row>
    <row r="210" spans="1:11" ht="14.5" x14ac:dyDescent="0.35">
      <c r="A210" s="3"/>
      <c r="B210" s="40">
        <v>4</v>
      </c>
      <c r="C210" s="67" t="s">
        <v>21</v>
      </c>
      <c r="D210" s="68">
        <v>54998.5</v>
      </c>
      <c r="E210" s="25">
        <v>0</v>
      </c>
      <c r="F210" s="69">
        <f>+E210+D210</f>
        <v>54998.5</v>
      </c>
      <c r="G210" s="70">
        <f>+F210</f>
        <v>54998.5</v>
      </c>
      <c r="H210" s="71" t="s">
        <v>52</v>
      </c>
      <c r="I210" s="3"/>
    </row>
    <row r="211" spans="1:11" ht="14.5" x14ac:dyDescent="0.35">
      <c r="A211" s="3"/>
      <c r="B211" s="72">
        <v>5</v>
      </c>
      <c r="C211" s="73" t="s">
        <v>22</v>
      </c>
      <c r="D211" s="68">
        <v>284978.8</v>
      </c>
      <c r="E211" s="25">
        <v>0</v>
      </c>
      <c r="F211" s="69">
        <f>+E211+D211</f>
        <v>284978.8</v>
      </c>
      <c r="G211" s="70">
        <f>+G210+F211</f>
        <v>339977.3</v>
      </c>
      <c r="H211" s="71" t="s">
        <v>52</v>
      </c>
      <c r="I211" s="3"/>
    </row>
    <row r="212" spans="1:11" ht="14.5" x14ac:dyDescent="0.35">
      <c r="A212" s="3"/>
      <c r="B212" s="72">
        <v>6</v>
      </c>
      <c r="C212" s="73" t="s">
        <v>23</v>
      </c>
      <c r="D212" s="68">
        <v>180407</v>
      </c>
      <c r="E212" s="25">
        <v>0</v>
      </c>
      <c r="F212" s="69">
        <f>+E212+D212</f>
        <v>180407</v>
      </c>
      <c r="G212" s="70">
        <f>+G211+F212</f>
        <v>520384.3</v>
      </c>
      <c r="H212" s="71" t="s">
        <v>52</v>
      </c>
      <c r="I212" s="3"/>
    </row>
    <row r="213" spans="1:11" ht="14.5" x14ac:dyDescent="0.35">
      <c r="A213" s="3"/>
      <c r="B213" s="72">
        <v>7</v>
      </c>
      <c r="C213" s="73" t="s">
        <v>24</v>
      </c>
      <c r="D213" s="68">
        <v>315354.52</v>
      </c>
      <c r="E213" s="25">
        <v>33701</v>
      </c>
      <c r="F213" s="69">
        <f>+E213+D213</f>
        <v>349055.52</v>
      </c>
      <c r="G213" s="70">
        <f>+G212+F213</f>
        <v>869439.82000000007</v>
      </c>
      <c r="H213" s="71" t="s">
        <v>52</v>
      </c>
      <c r="I213" s="3"/>
    </row>
    <row r="214" spans="1:11" ht="14.5" x14ac:dyDescent="0.35">
      <c r="A214" s="3"/>
      <c r="B214" s="40">
        <v>8</v>
      </c>
      <c r="C214" s="38" t="s">
        <v>25</v>
      </c>
      <c r="D214" s="25">
        <v>257132</v>
      </c>
      <c r="E214" s="25">
        <v>0</v>
      </c>
      <c r="F214" s="69">
        <f>+E214+D214</f>
        <v>257132</v>
      </c>
      <c r="G214" s="70">
        <f>+G213+F214</f>
        <v>1126571.82</v>
      </c>
      <c r="H214" s="71"/>
      <c r="I214" s="10"/>
      <c r="J214" s="3"/>
      <c r="K214" s="3"/>
    </row>
    <row r="215" spans="1:11" s="3" customFormat="1" ht="14.5" x14ac:dyDescent="0.35">
      <c r="B215" s="40">
        <v>9</v>
      </c>
      <c r="C215" s="38" t="s">
        <v>26</v>
      </c>
      <c r="D215" s="25">
        <v>159144.5</v>
      </c>
      <c r="E215" s="25">
        <v>0</v>
      </c>
      <c r="F215" s="47">
        <f t="shared" ref="F215:F234" si="10">+E215+D215</f>
        <v>159144.5</v>
      </c>
      <c r="G215" s="74">
        <f t="shared" ref="G215:G234" si="11">+G214+F215</f>
        <v>1285716.32</v>
      </c>
      <c r="H215" s="71"/>
      <c r="I215" s="42"/>
      <c r="J215" s="42"/>
    </row>
    <row r="216" spans="1:11" s="3" customFormat="1" ht="14.5" x14ac:dyDescent="0.35">
      <c r="B216" s="40">
        <v>10</v>
      </c>
      <c r="C216" s="38" t="s">
        <v>62</v>
      </c>
      <c r="D216" s="25">
        <v>694735.01</v>
      </c>
      <c r="E216" s="25">
        <v>29489.51</v>
      </c>
      <c r="F216" s="47">
        <f t="shared" si="10"/>
        <v>724224.52</v>
      </c>
      <c r="G216" s="74">
        <f t="shared" si="11"/>
        <v>2009940.84</v>
      </c>
      <c r="H216" s="71"/>
      <c r="I216" s="42"/>
      <c r="J216" s="42"/>
    </row>
    <row r="217" spans="1:11" s="3" customFormat="1" ht="14.5" x14ac:dyDescent="0.35">
      <c r="B217" s="40">
        <v>11</v>
      </c>
      <c r="C217" s="38" t="s">
        <v>63</v>
      </c>
      <c r="D217" s="25">
        <v>291293.5</v>
      </c>
      <c r="E217" s="25">
        <v>0</v>
      </c>
      <c r="F217" s="47">
        <f t="shared" si="10"/>
        <v>291293.5</v>
      </c>
      <c r="G217" s="74">
        <f t="shared" si="11"/>
        <v>2301234.34</v>
      </c>
      <c r="H217" s="71"/>
      <c r="I217" s="42"/>
      <c r="J217" s="42"/>
    </row>
    <row r="218" spans="1:11" s="3" customFormat="1" ht="14.5" x14ac:dyDescent="0.35">
      <c r="B218" s="40">
        <v>12</v>
      </c>
      <c r="C218" s="38" t="s">
        <v>78</v>
      </c>
      <c r="D218" s="25">
        <v>399630</v>
      </c>
      <c r="E218" s="25">
        <v>0</v>
      </c>
      <c r="F218" s="47">
        <f t="shared" si="10"/>
        <v>399630</v>
      </c>
      <c r="G218" s="74">
        <f t="shared" si="11"/>
        <v>2700864.34</v>
      </c>
      <c r="H218" s="71"/>
      <c r="I218" s="42"/>
      <c r="J218" s="42"/>
    </row>
    <row r="219" spans="1:11" s="3" customFormat="1" ht="14.5" x14ac:dyDescent="0.35">
      <c r="B219" s="40">
        <v>13</v>
      </c>
      <c r="C219" s="38" t="s">
        <v>64</v>
      </c>
      <c r="D219" s="25">
        <v>203822.5</v>
      </c>
      <c r="E219" s="25">
        <v>0</v>
      </c>
      <c r="F219" s="47">
        <f t="shared" si="10"/>
        <v>203822.5</v>
      </c>
      <c r="G219" s="74">
        <f t="shared" si="11"/>
        <v>2904686.84</v>
      </c>
      <c r="H219" s="71"/>
      <c r="I219" s="42"/>
      <c r="J219" s="42"/>
    </row>
    <row r="220" spans="1:11" s="3" customFormat="1" ht="15" customHeight="1" x14ac:dyDescent="0.35">
      <c r="B220" s="40">
        <v>14</v>
      </c>
      <c r="C220" s="58" t="s">
        <v>65</v>
      </c>
      <c r="D220" s="25">
        <v>150517</v>
      </c>
      <c r="E220" s="25">
        <v>0</v>
      </c>
      <c r="F220" s="47">
        <f t="shared" si="10"/>
        <v>150517</v>
      </c>
      <c r="G220" s="74">
        <f t="shared" si="11"/>
        <v>3055203.84</v>
      </c>
      <c r="H220" s="71"/>
      <c r="I220" s="42"/>
      <c r="J220" s="42"/>
    </row>
    <row r="221" spans="1:11" s="3" customFormat="1" ht="14.5" x14ac:dyDescent="0.35">
      <c r="B221" s="40">
        <v>15</v>
      </c>
      <c r="C221" s="38" t="s">
        <v>66</v>
      </c>
      <c r="D221" s="25">
        <v>180523</v>
      </c>
      <c r="E221" s="25">
        <v>0</v>
      </c>
      <c r="F221" s="47">
        <f t="shared" si="10"/>
        <v>180523</v>
      </c>
      <c r="G221" s="74">
        <f t="shared" si="11"/>
        <v>3235726.84</v>
      </c>
      <c r="H221" s="71"/>
      <c r="I221" s="42"/>
      <c r="J221" s="42"/>
    </row>
    <row r="222" spans="1:11" s="3" customFormat="1" ht="14.5" x14ac:dyDescent="0.35">
      <c r="B222" s="40">
        <v>16</v>
      </c>
      <c r="C222" s="38" t="s">
        <v>67</v>
      </c>
      <c r="D222" s="25">
        <v>170049</v>
      </c>
      <c r="E222" s="25">
        <v>0</v>
      </c>
      <c r="F222" s="47">
        <f t="shared" si="10"/>
        <v>170049</v>
      </c>
      <c r="G222" s="74">
        <f t="shared" si="11"/>
        <v>3405775.84</v>
      </c>
      <c r="H222" s="71"/>
      <c r="I222" s="42"/>
      <c r="J222" s="42"/>
    </row>
    <row r="223" spans="1:11" s="3" customFormat="1" ht="14.5" x14ac:dyDescent="0.35">
      <c r="B223" s="40">
        <v>17</v>
      </c>
      <c r="C223" s="38" t="s">
        <v>68</v>
      </c>
      <c r="D223" s="25">
        <v>43547.5</v>
      </c>
      <c r="E223" s="25">
        <v>0</v>
      </c>
      <c r="F223" s="47">
        <f t="shared" si="10"/>
        <v>43547.5</v>
      </c>
      <c r="G223" s="74">
        <f t="shared" si="11"/>
        <v>3449323.34</v>
      </c>
      <c r="H223" s="71"/>
      <c r="I223" s="42"/>
      <c r="J223" s="42"/>
    </row>
    <row r="224" spans="1:11" s="3" customFormat="1" ht="14.5" x14ac:dyDescent="0.35">
      <c r="B224" s="40">
        <v>18</v>
      </c>
      <c r="C224" s="38" t="s">
        <v>69</v>
      </c>
      <c r="D224" s="25">
        <v>0</v>
      </c>
      <c r="E224" s="25">
        <v>0</v>
      </c>
      <c r="F224" s="47">
        <f t="shared" si="10"/>
        <v>0</v>
      </c>
      <c r="G224" s="74">
        <f t="shared" si="11"/>
        <v>3449323.34</v>
      </c>
      <c r="H224" s="71"/>
      <c r="I224" s="42"/>
      <c r="J224" s="42"/>
    </row>
    <row r="225" spans="1:10" s="3" customFormat="1" ht="14.5" x14ac:dyDescent="0.35">
      <c r="B225" s="40">
        <v>19</v>
      </c>
      <c r="C225" s="38" t="s">
        <v>70</v>
      </c>
      <c r="D225" s="25">
        <v>7942</v>
      </c>
      <c r="E225" s="25">
        <v>0</v>
      </c>
      <c r="F225" s="47">
        <f t="shared" si="10"/>
        <v>7942</v>
      </c>
      <c r="G225" s="74">
        <f t="shared" si="11"/>
        <v>3457265.34</v>
      </c>
      <c r="H225" s="71"/>
      <c r="I225" s="42"/>
      <c r="J225" s="42"/>
    </row>
    <row r="226" spans="1:10" s="3" customFormat="1" ht="14.5" x14ac:dyDescent="0.35">
      <c r="B226" s="40">
        <v>20</v>
      </c>
      <c r="C226" s="38" t="s">
        <v>71</v>
      </c>
      <c r="D226" s="25">
        <v>3889</v>
      </c>
      <c r="E226" s="25">
        <v>0</v>
      </c>
      <c r="F226" s="47">
        <f t="shared" si="10"/>
        <v>3889</v>
      </c>
      <c r="G226" s="74">
        <f t="shared" si="11"/>
        <v>3461154.34</v>
      </c>
      <c r="H226" s="71"/>
      <c r="I226" s="42"/>
      <c r="J226" s="42"/>
    </row>
    <row r="227" spans="1:10" s="3" customFormat="1" ht="14.5" x14ac:dyDescent="0.35">
      <c r="B227" s="40">
        <v>21</v>
      </c>
      <c r="C227" s="38" t="s">
        <v>72</v>
      </c>
      <c r="D227" s="25">
        <v>3154.5</v>
      </c>
      <c r="E227" s="25">
        <v>0</v>
      </c>
      <c r="F227" s="47">
        <f t="shared" si="10"/>
        <v>3154.5</v>
      </c>
      <c r="G227" s="74">
        <f t="shared" si="11"/>
        <v>3464308.84</v>
      </c>
      <c r="H227" s="71"/>
      <c r="I227" s="42"/>
      <c r="J227" s="42"/>
    </row>
    <row r="228" spans="1:10" s="3" customFormat="1" ht="14.5" x14ac:dyDescent="0.35">
      <c r="B228" s="40">
        <v>22</v>
      </c>
      <c r="C228" s="38" t="s">
        <v>73</v>
      </c>
      <c r="D228" s="25">
        <v>20714.5</v>
      </c>
      <c r="E228" s="25">
        <v>0</v>
      </c>
      <c r="F228" s="47">
        <f t="shared" si="10"/>
        <v>20714.5</v>
      </c>
      <c r="G228" s="74">
        <f t="shared" si="11"/>
        <v>3485023.34</v>
      </c>
      <c r="H228" s="71"/>
      <c r="I228" s="42"/>
      <c r="J228" s="42"/>
    </row>
    <row r="229" spans="1:10" s="3" customFormat="1" ht="14.5" x14ac:dyDescent="0.35">
      <c r="B229" s="40">
        <v>23</v>
      </c>
      <c r="C229" s="38" t="s">
        <v>74</v>
      </c>
      <c r="D229" s="25">
        <v>78694</v>
      </c>
      <c r="E229" s="25">
        <v>0</v>
      </c>
      <c r="F229" s="47">
        <f t="shared" si="10"/>
        <v>78694</v>
      </c>
      <c r="G229" s="74">
        <f t="shared" si="11"/>
        <v>3563717.34</v>
      </c>
      <c r="H229" s="71"/>
      <c r="I229" s="42"/>
      <c r="J229" s="42"/>
    </row>
    <row r="230" spans="1:10" s="3" customFormat="1" ht="14.5" x14ac:dyDescent="0.35">
      <c r="B230" s="40">
        <v>24</v>
      </c>
      <c r="C230" s="38" t="s">
        <v>75</v>
      </c>
      <c r="D230" s="25">
        <v>2839.5</v>
      </c>
      <c r="E230" s="25">
        <v>0</v>
      </c>
      <c r="F230" s="47">
        <f t="shared" si="10"/>
        <v>2839.5</v>
      </c>
      <c r="G230" s="74">
        <f t="shared" si="11"/>
        <v>3566556.84</v>
      </c>
      <c r="H230" s="71"/>
      <c r="I230" s="42"/>
      <c r="J230" s="42"/>
    </row>
    <row r="231" spans="1:10" s="3" customFormat="1" ht="14.5" x14ac:dyDescent="0.35">
      <c r="B231" s="40">
        <v>25</v>
      </c>
      <c r="C231" s="77" t="s">
        <v>76</v>
      </c>
      <c r="D231" s="25">
        <v>11389</v>
      </c>
      <c r="E231" s="25">
        <v>0</v>
      </c>
      <c r="F231" s="47">
        <f t="shared" si="10"/>
        <v>11389</v>
      </c>
      <c r="G231" s="74">
        <f t="shared" si="11"/>
        <v>3577945.84</v>
      </c>
      <c r="H231" s="71"/>
      <c r="I231" s="42"/>
      <c r="J231" s="42"/>
    </row>
    <row r="232" spans="1:10" s="3" customFormat="1" ht="14.5" x14ac:dyDescent="0.35">
      <c r="B232" s="40">
        <v>26</v>
      </c>
      <c r="C232" s="77" t="s">
        <v>77</v>
      </c>
      <c r="D232" s="105">
        <v>9668.5</v>
      </c>
      <c r="E232" s="106">
        <v>0</v>
      </c>
      <c r="F232" s="107">
        <f t="shared" si="10"/>
        <v>9668.5</v>
      </c>
      <c r="G232" s="113">
        <f t="shared" si="11"/>
        <v>3587614.34</v>
      </c>
      <c r="H232" s="71"/>
      <c r="I232" s="42"/>
      <c r="J232" s="42"/>
    </row>
    <row r="233" spans="1:10" s="3" customFormat="1" ht="14.5" x14ac:dyDescent="0.35">
      <c r="B233" s="40">
        <v>27</v>
      </c>
      <c r="C233" s="38" t="s">
        <v>81</v>
      </c>
      <c r="D233" s="20">
        <v>0</v>
      </c>
      <c r="E233" s="20">
        <v>0</v>
      </c>
      <c r="F233" s="43">
        <f t="shared" si="10"/>
        <v>0</v>
      </c>
      <c r="G233" s="94">
        <f t="shared" si="11"/>
        <v>3587614.34</v>
      </c>
      <c r="H233" s="71"/>
      <c r="I233" s="42"/>
      <c r="J233" s="42"/>
    </row>
    <row r="234" spans="1:10" s="3" customFormat="1" ht="13.25" customHeight="1" x14ac:dyDescent="0.35">
      <c r="B234" s="40">
        <v>28</v>
      </c>
      <c r="C234" s="77" t="s">
        <v>87</v>
      </c>
      <c r="D234" s="25">
        <v>0</v>
      </c>
      <c r="E234" s="25">
        <v>0</v>
      </c>
      <c r="F234" s="47">
        <f t="shared" si="10"/>
        <v>0</v>
      </c>
      <c r="G234" s="76">
        <f t="shared" si="11"/>
        <v>3587614.34</v>
      </c>
      <c r="H234" s="71"/>
      <c r="I234" s="42"/>
      <c r="J234" s="42"/>
    </row>
    <row r="235" spans="1:10" ht="14.5" x14ac:dyDescent="0.35">
      <c r="A235" s="3"/>
      <c r="B235" s="5" t="s">
        <v>52</v>
      </c>
      <c r="C235" s="78" t="s">
        <v>52</v>
      </c>
      <c r="D235" s="79" t="s">
        <v>52</v>
      </c>
      <c r="E235" s="79" t="s">
        <v>52</v>
      </c>
      <c r="F235" s="79" t="s">
        <v>52</v>
      </c>
      <c r="G235" s="79" t="s">
        <v>52</v>
      </c>
      <c r="H235" s="6" t="s">
        <v>52</v>
      </c>
      <c r="I235" s="3"/>
    </row>
    <row r="236" spans="1:10" ht="14.5" x14ac:dyDescent="0.35">
      <c r="A236" s="3"/>
      <c r="B236" s="8" t="s">
        <v>34</v>
      </c>
      <c r="C236" s="80"/>
      <c r="D236" s="79" t="s">
        <v>52</v>
      </c>
      <c r="E236" s="79" t="s">
        <v>52</v>
      </c>
      <c r="F236" s="79" t="s">
        <v>52</v>
      </c>
      <c r="G236" s="79" t="s">
        <v>52</v>
      </c>
      <c r="H236" s="6" t="s">
        <v>52</v>
      </c>
      <c r="I236" s="3"/>
    </row>
    <row r="237" spans="1:10" ht="14.5" x14ac:dyDescent="0.35">
      <c r="A237" s="3"/>
      <c r="B237" s="9" t="s">
        <v>35</v>
      </c>
      <c r="C237" s="5"/>
      <c r="D237" s="6"/>
      <c r="E237" s="6"/>
      <c r="F237" s="81"/>
      <c r="G237" s="81"/>
      <c r="H237" s="82"/>
      <c r="I237" s="3"/>
    </row>
    <row r="238" spans="1:10" ht="14.5" x14ac:dyDescent="0.35">
      <c r="A238" s="3"/>
      <c r="B238" s="9" t="s">
        <v>36</v>
      </c>
      <c r="C238" s="5"/>
      <c r="D238" s="6"/>
      <c r="E238" s="6"/>
      <c r="F238" s="81"/>
      <c r="G238" s="79" t="s">
        <v>52</v>
      </c>
      <c r="H238" s="6" t="s">
        <v>52</v>
      </c>
      <c r="I238" s="3"/>
    </row>
    <row r="239" spans="1:10" ht="14.5" x14ac:dyDescent="0.35">
      <c r="A239" s="3"/>
      <c r="B239" s="9" t="s">
        <v>37</v>
      </c>
      <c r="C239" s="5"/>
      <c r="D239" s="6"/>
      <c r="E239" s="6"/>
      <c r="F239" s="79" t="s">
        <v>52</v>
      </c>
      <c r="G239" s="79" t="s">
        <v>52</v>
      </c>
      <c r="H239" s="6" t="s">
        <v>52</v>
      </c>
      <c r="I239" s="3"/>
    </row>
    <row r="240" spans="1:10" ht="14.5" x14ac:dyDescent="0.35">
      <c r="A240" s="3"/>
      <c r="B240" s="10"/>
      <c r="C240" s="83"/>
      <c r="D240" s="85"/>
      <c r="E240" s="85"/>
      <c r="F240" s="85"/>
      <c r="G240" s="85"/>
      <c r="H240" s="42"/>
      <c r="I240" s="3"/>
    </row>
    <row r="241" spans="1:11" ht="14.5" x14ac:dyDescent="0.35">
      <c r="A241" s="3"/>
      <c r="B241" s="10"/>
      <c r="C241" s="83"/>
      <c r="D241" s="85"/>
      <c r="E241" s="85"/>
      <c r="F241" s="85"/>
      <c r="G241" s="85"/>
      <c r="H241" s="42"/>
      <c r="I241" s="3"/>
    </row>
    <row r="242" spans="1:11" ht="18.5" x14ac:dyDescent="0.45">
      <c r="A242" s="3"/>
      <c r="C242" s="83"/>
      <c r="D242" s="193" t="s">
        <v>40</v>
      </c>
      <c r="E242" s="193"/>
      <c r="F242" s="193"/>
      <c r="G242" s="193"/>
      <c r="H242" s="193"/>
      <c r="I242" s="3"/>
    </row>
    <row r="243" spans="1:11" ht="16" x14ac:dyDescent="0.4">
      <c r="A243" s="35"/>
      <c r="B243" s="26" t="s">
        <v>52</v>
      </c>
      <c r="C243" s="84" t="s">
        <v>52</v>
      </c>
      <c r="D243" s="194" t="s">
        <v>55</v>
      </c>
      <c r="E243" s="194"/>
      <c r="F243" s="194"/>
      <c r="G243" s="194"/>
      <c r="H243" s="194"/>
      <c r="I243" s="35"/>
    </row>
    <row r="244" spans="1:11" ht="15.9" customHeight="1" x14ac:dyDescent="0.4">
      <c r="A244" s="3"/>
      <c r="B244" s="128" t="s">
        <v>88</v>
      </c>
      <c r="C244" s="128"/>
      <c r="D244" s="128"/>
      <c r="E244" s="128"/>
      <c r="F244" s="128"/>
      <c r="G244" s="128"/>
      <c r="H244" s="128"/>
      <c r="I244" s="3"/>
    </row>
    <row r="245" spans="1:11" ht="14.5" x14ac:dyDescent="0.35">
      <c r="A245" s="3"/>
      <c r="B245" s="14"/>
      <c r="C245" s="15"/>
      <c r="D245" s="142" t="s">
        <v>6</v>
      </c>
      <c r="E245" s="142"/>
      <c r="F245" s="142"/>
      <c r="G245" s="142"/>
      <c r="H245" s="191" t="s">
        <v>52</v>
      </c>
      <c r="I245" s="3"/>
    </row>
    <row r="246" spans="1:11" ht="14.5" x14ac:dyDescent="0.35">
      <c r="A246" s="3"/>
      <c r="B246" s="12"/>
      <c r="C246" s="13"/>
      <c r="D246" s="145" t="s">
        <v>9</v>
      </c>
      <c r="E246" s="145"/>
      <c r="F246" s="145"/>
      <c r="G246" s="145"/>
      <c r="H246" s="191"/>
      <c r="I246" s="3"/>
    </row>
    <row r="247" spans="1:11" ht="14.5" x14ac:dyDescent="0.35">
      <c r="A247" s="3"/>
      <c r="B247" s="133" t="s">
        <v>10</v>
      </c>
      <c r="C247" s="135" t="s">
        <v>11</v>
      </c>
      <c r="D247" s="51" t="s">
        <v>12</v>
      </c>
      <c r="E247" s="51" t="s">
        <v>13</v>
      </c>
      <c r="F247" s="51" t="s">
        <v>14</v>
      </c>
      <c r="G247" s="66" t="s">
        <v>15</v>
      </c>
      <c r="H247" s="186" t="s">
        <v>52</v>
      </c>
      <c r="I247" s="3"/>
    </row>
    <row r="248" spans="1:11" ht="14.5" x14ac:dyDescent="0.35">
      <c r="A248" s="3"/>
      <c r="B248" s="133"/>
      <c r="C248" s="135"/>
      <c r="D248" s="154" t="s">
        <v>20</v>
      </c>
      <c r="E248" s="154"/>
      <c r="F248" s="154"/>
      <c r="G248" s="154"/>
      <c r="H248" s="186"/>
      <c r="I248" s="3"/>
    </row>
    <row r="249" spans="1:11" ht="14.5" x14ac:dyDescent="0.35">
      <c r="A249" s="3"/>
      <c r="B249" s="40">
        <v>4</v>
      </c>
      <c r="C249" s="67" t="s">
        <v>21</v>
      </c>
      <c r="D249" s="25">
        <v>0</v>
      </c>
      <c r="E249" s="25">
        <v>0</v>
      </c>
      <c r="F249" s="47">
        <v>0</v>
      </c>
      <c r="G249" s="25">
        <v>0</v>
      </c>
      <c r="H249" s="71" t="s">
        <v>52</v>
      </c>
      <c r="I249" s="3"/>
    </row>
    <row r="250" spans="1:11" ht="14.5" x14ac:dyDescent="0.35">
      <c r="A250" s="3"/>
      <c r="B250" s="72">
        <v>5</v>
      </c>
      <c r="C250" s="73" t="s">
        <v>22</v>
      </c>
      <c r="D250" s="25">
        <v>0</v>
      </c>
      <c r="E250" s="25">
        <v>0</v>
      </c>
      <c r="F250" s="47">
        <v>0</v>
      </c>
      <c r="G250" s="25">
        <v>0</v>
      </c>
      <c r="H250" s="71" t="s">
        <v>52</v>
      </c>
      <c r="I250" s="3"/>
    </row>
    <row r="251" spans="1:11" ht="14.5" x14ac:dyDescent="0.35">
      <c r="A251" s="3"/>
      <c r="B251" s="72">
        <v>6</v>
      </c>
      <c r="C251" s="73" t="s">
        <v>23</v>
      </c>
      <c r="D251" s="25">
        <v>0</v>
      </c>
      <c r="E251" s="25">
        <v>0</v>
      </c>
      <c r="F251" s="47">
        <v>0</v>
      </c>
      <c r="G251" s="25">
        <v>0</v>
      </c>
      <c r="H251" s="71" t="s">
        <v>52</v>
      </c>
      <c r="I251" s="3"/>
    </row>
    <row r="252" spans="1:11" ht="14.5" x14ac:dyDescent="0.35">
      <c r="A252" s="3"/>
      <c r="B252" s="72">
        <v>7</v>
      </c>
      <c r="C252" s="73" t="s">
        <v>24</v>
      </c>
      <c r="D252" s="25">
        <v>0</v>
      </c>
      <c r="E252" s="25">
        <v>0</v>
      </c>
      <c r="F252" s="47">
        <v>0</v>
      </c>
      <c r="G252" s="25">
        <v>0</v>
      </c>
      <c r="H252" s="71" t="s">
        <v>52</v>
      </c>
      <c r="I252" s="3"/>
    </row>
    <row r="253" spans="1:11" ht="14.5" x14ac:dyDescent="0.35">
      <c r="A253" s="3"/>
      <c r="B253" s="40">
        <v>8</v>
      </c>
      <c r="C253" s="38" t="s">
        <v>25</v>
      </c>
      <c r="D253" s="25">
        <v>34642.5</v>
      </c>
      <c r="E253" s="25">
        <v>0</v>
      </c>
      <c r="F253" s="47">
        <f t="shared" ref="F253:F273" si="12">+E253+D253</f>
        <v>34642.5</v>
      </c>
      <c r="G253" s="74">
        <f t="shared" ref="G253:G273" si="13">+G252+F253</f>
        <v>34642.5</v>
      </c>
      <c r="H253" s="71"/>
      <c r="I253" s="10"/>
      <c r="J253" s="3"/>
      <c r="K253" s="3"/>
    </row>
    <row r="254" spans="1:11" s="3" customFormat="1" ht="14.5" x14ac:dyDescent="0.35">
      <c r="B254" s="40">
        <v>9</v>
      </c>
      <c r="C254" s="38" t="s">
        <v>26</v>
      </c>
      <c r="D254" s="25">
        <v>0</v>
      </c>
      <c r="E254" s="25">
        <v>0</v>
      </c>
      <c r="F254" s="47">
        <f t="shared" si="12"/>
        <v>0</v>
      </c>
      <c r="G254" s="74">
        <f t="shared" si="13"/>
        <v>34642.5</v>
      </c>
      <c r="H254" s="71"/>
      <c r="I254" s="42"/>
      <c r="J254" s="42"/>
    </row>
    <row r="255" spans="1:11" s="3" customFormat="1" ht="14.5" x14ac:dyDescent="0.35">
      <c r="B255" s="40">
        <v>10</v>
      </c>
      <c r="C255" s="38" t="s">
        <v>62</v>
      </c>
      <c r="D255" s="25">
        <v>600909</v>
      </c>
      <c r="E255" s="25">
        <v>0</v>
      </c>
      <c r="F255" s="47">
        <f t="shared" si="12"/>
        <v>600909</v>
      </c>
      <c r="G255" s="74">
        <f t="shared" si="13"/>
        <v>635551.5</v>
      </c>
      <c r="H255" s="71"/>
      <c r="I255" s="42"/>
      <c r="J255" s="42"/>
    </row>
    <row r="256" spans="1:11" s="3" customFormat="1" ht="14.5" x14ac:dyDescent="0.35">
      <c r="B256" s="40">
        <v>11</v>
      </c>
      <c r="C256" s="38" t="s">
        <v>63</v>
      </c>
      <c r="D256" s="25">
        <v>0</v>
      </c>
      <c r="E256" s="25">
        <v>0</v>
      </c>
      <c r="F256" s="47">
        <f t="shared" si="12"/>
        <v>0</v>
      </c>
      <c r="G256" s="74">
        <f t="shared" si="13"/>
        <v>635551.5</v>
      </c>
      <c r="H256" s="71"/>
      <c r="I256" s="42"/>
      <c r="J256" s="42"/>
    </row>
    <row r="257" spans="2:10" s="3" customFormat="1" ht="14.5" x14ac:dyDescent="0.35">
      <c r="B257" s="40">
        <v>12</v>
      </c>
      <c r="C257" s="38" t="s">
        <v>78</v>
      </c>
      <c r="D257" s="25">
        <v>32251</v>
      </c>
      <c r="E257" s="25">
        <v>0</v>
      </c>
      <c r="F257" s="47">
        <f t="shared" si="12"/>
        <v>32251</v>
      </c>
      <c r="G257" s="74">
        <f t="shared" si="13"/>
        <v>667802.5</v>
      </c>
      <c r="H257" s="71"/>
      <c r="I257" s="42"/>
      <c r="J257" s="42"/>
    </row>
    <row r="258" spans="2:10" s="3" customFormat="1" ht="14.5" x14ac:dyDescent="0.35">
      <c r="B258" s="40">
        <v>13</v>
      </c>
      <c r="C258" s="38" t="s">
        <v>64</v>
      </c>
      <c r="D258" s="25">
        <v>66005.5</v>
      </c>
      <c r="E258" s="25">
        <v>0</v>
      </c>
      <c r="F258" s="47">
        <f t="shared" si="12"/>
        <v>66005.5</v>
      </c>
      <c r="G258" s="74">
        <f t="shared" si="13"/>
        <v>733808</v>
      </c>
      <c r="H258" s="71"/>
      <c r="I258" s="42"/>
      <c r="J258" s="42"/>
    </row>
    <row r="259" spans="2:10" s="3" customFormat="1" ht="15" customHeight="1" x14ac:dyDescent="0.35">
      <c r="B259" s="40">
        <v>14</v>
      </c>
      <c r="C259" s="58" t="s">
        <v>65</v>
      </c>
      <c r="D259" s="25">
        <v>17618</v>
      </c>
      <c r="E259" s="25">
        <v>0</v>
      </c>
      <c r="F259" s="47">
        <f t="shared" si="12"/>
        <v>17618</v>
      </c>
      <c r="G259" s="74">
        <f t="shared" si="13"/>
        <v>751426</v>
      </c>
      <c r="H259" s="71"/>
      <c r="I259" s="42"/>
      <c r="J259" s="42"/>
    </row>
    <row r="260" spans="2:10" s="3" customFormat="1" ht="14.5" x14ac:dyDescent="0.35">
      <c r="B260" s="40">
        <v>15</v>
      </c>
      <c r="C260" s="38" t="s">
        <v>66</v>
      </c>
      <c r="D260" s="25">
        <v>0</v>
      </c>
      <c r="E260" s="25">
        <v>0</v>
      </c>
      <c r="F260" s="47">
        <f t="shared" si="12"/>
        <v>0</v>
      </c>
      <c r="G260" s="74">
        <f t="shared" si="13"/>
        <v>751426</v>
      </c>
      <c r="H260" s="71"/>
      <c r="I260" s="42"/>
      <c r="J260" s="42"/>
    </row>
    <row r="261" spans="2:10" s="3" customFormat="1" ht="14.5" x14ac:dyDescent="0.35">
      <c r="B261" s="40">
        <v>16</v>
      </c>
      <c r="C261" s="38" t="s">
        <v>67</v>
      </c>
      <c r="D261" s="25">
        <v>0</v>
      </c>
      <c r="E261" s="25">
        <v>0</v>
      </c>
      <c r="F261" s="47">
        <f t="shared" si="12"/>
        <v>0</v>
      </c>
      <c r="G261" s="74">
        <f t="shared" si="13"/>
        <v>751426</v>
      </c>
      <c r="H261" s="71"/>
      <c r="I261" s="42"/>
      <c r="J261" s="42"/>
    </row>
    <row r="262" spans="2:10" s="3" customFormat="1" ht="14.5" x14ac:dyDescent="0.35">
      <c r="B262" s="40">
        <v>17</v>
      </c>
      <c r="C262" s="38" t="s">
        <v>68</v>
      </c>
      <c r="D262" s="25">
        <v>0</v>
      </c>
      <c r="E262" s="25">
        <v>0</v>
      </c>
      <c r="F262" s="47">
        <f t="shared" si="12"/>
        <v>0</v>
      </c>
      <c r="G262" s="74">
        <f t="shared" si="13"/>
        <v>751426</v>
      </c>
      <c r="H262" s="71"/>
      <c r="I262" s="42"/>
      <c r="J262" s="42"/>
    </row>
    <row r="263" spans="2:10" s="3" customFormat="1" ht="14.5" x14ac:dyDescent="0.35">
      <c r="B263" s="40">
        <v>18</v>
      </c>
      <c r="C263" s="38" t="s">
        <v>69</v>
      </c>
      <c r="D263" s="25">
        <v>0</v>
      </c>
      <c r="E263" s="25">
        <v>0</v>
      </c>
      <c r="F263" s="47">
        <f t="shared" si="12"/>
        <v>0</v>
      </c>
      <c r="G263" s="74">
        <f t="shared" si="13"/>
        <v>751426</v>
      </c>
      <c r="H263" s="71"/>
      <c r="I263" s="42"/>
      <c r="J263" s="42"/>
    </row>
    <row r="264" spans="2:10" s="3" customFormat="1" ht="14.5" x14ac:dyDescent="0.35">
      <c r="B264" s="40">
        <v>19</v>
      </c>
      <c r="C264" s="38" t="s">
        <v>70</v>
      </c>
      <c r="D264" s="25">
        <v>0</v>
      </c>
      <c r="E264" s="25">
        <v>0</v>
      </c>
      <c r="F264" s="47">
        <f t="shared" si="12"/>
        <v>0</v>
      </c>
      <c r="G264" s="74">
        <f t="shared" si="13"/>
        <v>751426</v>
      </c>
      <c r="H264" s="71"/>
      <c r="I264" s="42"/>
      <c r="J264" s="42"/>
    </row>
    <row r="265" spans="2:10" s="3" customFormat="1" ht="14.5" x14ac:dyDescent="0.35">
      <c r="B265" s="40">
        <v>20</v>
      </c>
      <c r="C265" s="38" t="s">
        <v>71</v>
      </c>
      <c r="D265" s="25">
        <v>0</v>
      </c>
      <c r="E265" s="25">
        <v>0</v>
      </c>
      <c r="F265" s="47">
        <f t="shared" si="12"/>
        <v>0</v>
      </c>
      <c r="G265" s="74">
        <f t="shared" si="13"/>
        <v>751426</v>
      </c>
      <c r="H265" s="71"/>
      <c r="I265" s="42"/>
      <c r="J265" s="42"/>
    </row>
    <row r="266" spans="2:10" s="3" customFormat="1" ht="14.5" x14ac:dyDescent="0.35">
      <c r="B266" s="40">
        <v>21</v>
      </c>
      <c r="C266" s="38" t="s">
        <v>72</v>
      </c>
      <c r="D266" s="25">
        <v>0</v>
      </c>
      <c r="E266" s="25">
        <v>0</v>
      </c>
      <c r="F266" s="47">
        <f t="shared" si="12"/>
        <v>0</v>
      </c>
      <c r="G266" s="74">
        <f t="shared" si="13"/>
        <v>751426</v>
      </c>
      <c r="H266" s="71"/>
      <c r="I266" s="42"/>
      <c r="J266" s="42"/>
    </row>
    <row r="267" spans="2:10" s="3" customFormat="1" ht="14.5" x14ac:dyDescent="0.35">
      <c r="B267" s="40">
        <v>22</v>
      </c>
      <c r="C267" s="38" t="s">
        <v>73</v>
      </c>
      <c r="D267" s="25">
        <v>0</v>
      </c>
      <c r="E267" s="25">
        <v>0</v>
      </c>
      <c r="F267" s="47">
        <f t="shared" si="12"/>
        <v>0</v>
      </c>
      <c r="G267" s="74">
        <f t="shared" si="13"/>
        <v>751426</v>
      </c>
      <c r="H267" s="71"/>
      <c r="I267" s="42"/>
      <c r="J267" s="42"/>
    </row>
    <row r="268" spans="2:10" s="3" customFormat="1" ht="14.5" x14ac:dyDescent="0.35">
      <c r="B268" s="40">
        <v>23</v>
      </c>
      <c r="C268" s="38" t="s">
        <v>74</v>
      </c>
      <c r="D268" s="25">
        <v>0</v>
      </c>
      <c r="E268" s="25">
        <v>0</v>
      </c>
      <c r="F268" s="47">
        <f t="shared" si="12"/>
        <v>0</v>
      </c>
      <c r="G268" s="74">
        <f t="shared" si="13"/>
        <v>751426</v>
      </c>
      <c r="H268" s="71"/>
      <c r="I268" s="42"/>
      <c r="J268" s="42"/>
    </row>
    <row r="269" spans="2:10" s="3" customFormat="1" ht="14.5" x14ac:dyDescent="0.35">
      <c r="B269" s="40">
        <v>24</v>
      </c>
      <c r="C269" s="38" t="s">
        <v>75</v>
      </c>
      <c r="D269" s="25">
        <v>0</v>
      </c>
      <c r="E269" s="25">
        <v>0</v>
      </c>
      <c r="F269" s="47">
        <f t="shared" si="12"/>
        <v>0</v>
      </c>
      <c r="G269" s="74">
        <f t="shared" si="13"/>
        <v>751426</v>
      </c>
      <c r="H269" s="71"/>
      <c r="I269" s="42"/>
      <c r="J269" s="42"/>
    </row>
    <row r="270" spans="2:10" s="3" customFormat="1" ht="14.5" x14ac:dyDescent="0.35">
      <c r="B270" s="40">
        <v>25</v>
      </c>
      <c r="C270" s="77" t="s">
        <v>76</v>
      </c>
      <c r="D270" s="25">
        <v>0</v>
      </c>
      <c r="E270" s="25">
        <v>0</v>
      </c>
      <c r="F270" s="47">
        <f t="shared" si="12"/>
        <v>0</v>
      </c>
      <c r="G270" s="74">
        <f t="shared" si="13"/>
        <v>751426</v>
      </c>
      <c r="H270" s="71"/>
      <c r="I270" s="42"/>
      <c r="J270" s="42"/>
    </row>
    <row r="271" spans="2:10" s="3" customFormat="1" ht="14.5" x14ac:dyDescent="0.35">
      <c r="B271" s="40">
        <v>26</v>
      </c>
      <c r="C271" s="77" t="s">
        <v>77</v>
      </c>
      <c r="D271" s="105"/>
      <c r="E271" s="106"/>
      <c r="F271" s="107">
        <f t="shared" si="12"/>
        <v>0</v>
      </c>
      <c r="G271" s="113">
        <f t="shared" si="13"/>
        <v>751426</v>
      </c>
      <c r="H271" s="71"/>
      <c r="I271" s="42"/>
      <c r="J271" s="42"/>
    </row>
    <row r="272" spans="2:10" s="3" customFormat="1" ht="14.5" x14ac:dyDescent="0.35">
      <c r="B272" s="40">
        <v>27</v>
      </c>
      <c r="C272" s="38" t="s">
        <v>81</v>
      </c>
      <c r="D272" s="20">
        <v>0</v>
      </c>
      <c r="E272" s="20">
        <v>0</v>
      </c>
      <c r="F272" s="43">
        <f t="shared" si="12"/>
        <v>0</v>
      </c>
      <c r="G272" s="94">
        <f t="shared" si="13"/>
        <v>751426</v>
      </c>
      <c r="H272" s="71"/>
      <c r="I272" s="42"/>
      <c r="J272" s="42"/>
    </row>
    <row r="273" spans="1:10" s="3" customFormat="1" ht="13.25" customHeight="1" x14ac:dyDescent="0.35">
      <c r="B273" s="40">
        <v>28</v>
      </c>
      <c r="C273" s="77" t="s">
        <v>87</v>
      </c>
      <c r="D273" s="25">
        <v>0</v>
      </c>
      <c r="E273" s="25">
        <v>-600909</v>
      </c>
      <c r="F273" s="47">
        <f t="shared" si="12"/>
        <v>-600909</v>
      </c>
      <c r="G273" s="76">
        <f t="shared" si="13"/>
        <v>150517</v>
      </c>
      <c r="H273" s="71"/>
      <c r="I273" s="42"/>
      <c r="J273" s="42"/>
    </row>
    <row r="274" spans="1:10" ht="14.5" x14ac:dyDescent="0.35">
      <c r="A274" s="3"/>
      <c r="B274" s="5" t="s">
        <v>52</v>
      </c>
      <c r="C274" s="78" t="s">
        <v>52</v>
      </c>
      <c r="D274" s="79" t="s">
        <v>52</v>
      </c>
      <c r="E274" s="79" t="s">
        <v>52</v>
      </c>
      <c r="F274" s="79" t="s">
        <v>52</v>
      </c>
      <c r="G274" s="79" t="s">
        <v>52</v>
      </c>
      <c r="H274" s="6" t="s">
        <v>52</v>
      </c>
      <c r="I274" s="3"/>
    </row>
    <row r="275" spans="1:10" ht="14.5" x14ac:dyDescent="0.35">
      <c r="A275" s="3"/>
      <c r="B275" s="8" t="s">
        <v>34</v>
      </c>
      <c r="C275" s="80"/>
      <c r="D275" s="79" t="s">
        <v>52</v>
      </c>
      <c r="E275" s="79" t="s">
        <v>52</v>
      </c>
      <c r="F275" s="79" t="s">
        <v>52</v>
      </c>
      <c r="G275" s="79" t="s">
        <v>52</v>
      </c>
      <c r="H275" s="6" t="s">
        <v>52</v>
      </c>
      <c r="I275" s="3"/>
    </row>
    <row r="276" spans="1:10" ht="14.5" x14ac:dyDescent="0.35">
      <c r="A276" s="3"/>
      <c r="B276" s="9" t="s">
        <v>35</v>
      </c>
      <c r="C276" s="5"/>
      <c r="D276" s="6"/>
      <c r="E276" s="6"/>
      <c r="F276" s="81"/>
      <c r="G276" s="81"/>
      <c r="H276" s="82"/>
      <c r="I276" s="3"/>
    </row>
    <row r="277" spans="1:10" ht="14.5" x14ac:dyDescent="0.35">
      <c r="A277" s="3"/>
      <c r="B277" s="9" t="s">
        <v>36</v>
      </c>
      <c r="C277" s="5"/>
      <c r="D277" s="6"/>
      <c r="E277" s="6"/>
      <c r="F277" s="81"/>
      <c r="G277" s="79" t="s">
        <v>52</v>
      </c>
      <c r="H277" s="6" t="s">
        <v>52</v>
      </c>
      <c r="I277" s="3"/>
    </row>
    <row r="278" spans="1:10" ht="14.5" x14ac:dyDescent="0.35">
      <c r="A278" s="3"/>
      <c r="B278" s="9" t="s">
        <v>37</v>
      </c>
      <c r="C278" s="5"/>
      <c r="D278" s="6"/>
      <c r="E278" s="6"/>
      <c r="F278" s="79" t="s">
        <v>52</v>
      </c>
      <c r="G278" s="79" t="s">
        <v>52</v>
      </c>
      <c r="H278" s="6" t="s">
        <v>52</v>
      </c>
      <c r="I278" s="3"/>
    </row>
    <row r="279" spans="1:10" ht="14.5" x14ac:dyDescent="0.35">
      <c r="A279" s="3"/>
      <c r="B279" s="3"/>
      <c r="C279" s="63"/>
      <c r="D279" s="64"/>
      <c r="E279" s="64"/>
      <c r="F279" s="64"/>
      <c r="G279" s="64"/>
      <c r="H279" s="39"/>
      <c r="I279" s="3"/>
    </row>
    <row r="280" spans="1:10" ht="14.5" x14ac:dyDescent="0.35">
      <c r="A280" s="3"/>
      <c r="B280" s="3"/>
      <c r="C280" s="63"/>
      <c r="D280" s="64"/>
      <c r="E280" s="64"/>
      <c r="F280" s="64"/>
      <c r="G280" s="64"/>
      <c r="H280" s="39"/>
      <c r="I280" s="3"/>
    </row>
    <row r="281" spans="1:10" ht="18.5" x14ac:dyDescent="0.45">
      <c r="A281" s="3"/>
      <c r="C281" s="83"/>
      <c r="D281" s="188" t="s">
        <v>41</v>
      </c>
      <c r="E281" s="188"/>
      <c r="F281" s="188"/>
      <c r="G281" s="188"/>
      <c r="H281" s="188"/>
      <c r="I281" s="3"/>
    </row>
    <row r="282" spans="1:10" ht="16" x14ac:dyDescent="0.4">
      <c r="A282" s="35"/>
      <c r="B282" s="26" t="s">
        <v>52</v>
      </c>
      <c r="C282" s="84" t="s">
        <v>52</v>
      </c>
      <c r="D282" s="189" t="s">
        <v>55</v>
      </c>
      <c r="E282" s="189"/>
      <c r="F282" s="189"/>
      <c r="G282" s="189"/>
      <c r="H282" s="189"/>
      <c r="I282" s="35"/>
    </row>
    <row r="283" spans="1:10" ht="15.9" customHeight="1" x14ac:dyDescent="0.4">
      <c r="A283" s="3"/>
      <c r="B283" s="128" t="s">
        <v>88</v>
      </c>
      <c r="C283" s="128"/>
      <c r="D283" s="128"/>
      <c r="E283" s="128"/>
      <c r="F283" s="128"/>
      <c r="G283" s="128"/>
      <c r="H283" s="128"/>
      <c r="I283" s="3"/>
    </row>
    <row r="284" spans="1:10" ht="14.5" x14ac:dyDescent="0.35">
      <c r="A284" s="3"/>
      <c r="B284" s="14"/>
      <c r="C284" s="15"/>
      <c r="D284" s="142" t="s">
        <v>6</v>
      </c>
      <c r="E284" s="142"/>
      <c r="F284" s="142"/>
      <c r="G284" s="142"/>
      <c r="H284" s="191" t="s">
        <v>52</v>
      </c>
      <c r="I284" s="3"/>
    </row>
    <row r="285" spans="1:10" ht="14.5" x14ac:dyDescent="0.35">
      <c r="A285" s="3"/>
      <c r="B285" s="12"/>
      <c r="C285" s="13"/>
      <c r="D285" s="145" t="s">
        <v>9</v>
      </c>
      <c r="E285" s="145"/>
      <c r="F285" s="145"/>
      <c r="G285" s="145"/>
      <c r="H285" s="191"/>
      <c r="I285" s="3"/>
    </row>
    <row r="286" spans="1:10" ht="14.5" x14ac:dyDescent="0.35">
      <c r="A286" s="3"/>
      <c r="B286" s="133" t="s">
        <v>10</v>
      </c>
      <c r="C286" s="135" t="s">
        <v>11</v>
      </c>
      <c r="D286" s="51" t="s">
        <v>12</v>
      </c>
      <c r="E286" s="51" t="s">
        <v>13</v>
      </c>
      <c r="F286" s="51" t="s">
        <v>14</v>
      </c>
      <c r="G286" s="66" t="s">
        <v>15</v>
      </c>
      <c r="H286" s="186" t="s">
        <v>52</v>
      </c>
      <c r="I286" s="3"/>
    </row>
    <row r="287" spans="1:10" ht="14.5" x14ac:dyDescent="0.35">
      <c r="A287" s="3"/>
      <c r="B287" s="133"/>
      <c r="C287" s="135"/>
      <c r="D287" s="154" t="s">
        <v>20</v>
      </c>
      <c r="E287" s="154"/>
      <c r="F287" s="154"/>
      <c r="G287" s="154"/>
      <c r="H287" s="186"/>
      <c r="I287" s="3"/>
    </row>
    <row r="288" spans="1:10" ht="14.5" x14ac:dyDescent="0.35">
      <c r="A288" s="3"/>
      <c r="B288" s="40">
        <v>4</v>
      </c>
      <c r="C288" s="67" t="s">
        <v>21</v>
      </c>
      <c r="D288" s="25">
        <v>0</v>
      </c>
      <c r="E288" s="25">
        <v>0</v>
      </c>
      <c r="F288" s="47">
        <v>0</v>
      </c>
      <c r="G288" s="25">
        <v>0</v>
      </c>
      <c r="H288" s="71" t="s">
        <v>52</v>
      </c>
      <c r="I288" s="3"/>
    </row>
    <row r="289" spans="1:11" ht="14.5" x14ac:dyDescent="0.35">
      <c r="A289" s="3"/>
      <c r="B289" s="72">
        <v>5</v>
      </c>
      <c r="C289" s="73" t="s">
        <v>22</v>
      </c>
      <c r="D289" s="25">
        <v>0</v>
      </c>
      <c r="E289" s="25">
        <v>0</v>
      </c>
      <c r="F289" s="47">
        <v>0</v>
      </c>
      <c r="G289" s="25">
        <v>0</v>
      </c>
      <c r="H289" s="71" t="s">
        <v>52</v>
      </c>
      <c r="I289" s="3"/>
    </row>
    <row r="290" spans="1:11" ht="14.5" x14ac:dyDescent="0.35">
      <c r="A290" s="3"/>
      <c r="B290" s="72">
        <v>6</v>
      </c>
      <c r="C290" s="73" t="s">
        <v>23</v>
      </c>
      <c r="D290" s="25">
        <v>0</v>
      </c>
      <c r="E290" s="25">
        <v>0</v>
      </c>
      <c r="F290" s="47">
        <v>0</v>
      </c>
      <c r="G290" s="25">
        <v>0</v>
      </c>
      <c r="H290" s="71" t="s">
        <v>52</v>
      </c>
      <c r="I290" s="3"/>
    </row>
    <row r="291" spans="1:11" ht="14.5" x14ac:dyDescent="0.35">
      <c r="A291" s="3"/>
      <c r="B291" s="72">
        <v>7</v>
      </c>
      <c r="C291" s="73" t="s">
        <v>24</v>
      </c>
      <c r="D291" s="25">
        <v>0</v>
      </c>
      <c r="E291" s="25">
        <v>0</v>
      </c>
      <c r="F291" s="47">
        <v>0</v>
      </c>
      <c r="G291" s="25">
        <v>0</v>
      </c>
      <c r="H291" s="71" t="s">
        <v>52</v>
      </c>
      <c r="I291" s="3"/>
    </row>
    <row r="292" spans="1:11" ht="14.5" x14ac:dyDescent="0.35">
      <c r="A292" s="3"/>
      <c r="B292" s="40">
        <v>8</v>
      </c>
      <c r="C292" s="38" t="s">
        <v>25</v>
      </c>
      <c r="D292" s="25">
        <v>0</v>
      </c>
      <c r="E292" s="25">
        <v>0</v>
      </c>
      <c r="F292" s="47">
        <f t="shared" ref="F292:F312" si="14">+E292+D292</f>
        <v>0</v>
      </c>
      <c r="G292" s="74">
        <f t="shared" ref="G292:G312" si="15">+G291+F292</f>
        <v>0</v>
      </c>
      <c r="H292" s="71"/>
      <c r="I292" s="10"/>
      <c r="J292" s="3"/>
      <c r="K292" s="3"/>
    </row>
    <row r="293" spans="1:11" s="3" customFormat="1" ht="14.5" x14ac:dyDescent="0.35">
      <c r="B293" s="40">
        <v>9</v>
      </c>
      <c r="C293" s="38" t="s">
        <v>26</v>
      </c>
      <c r="D293" s="25">
        <v>0</v>
      </c>
      <c r="E293" s="25">
        <v>0</v>
      </c>
      <c r="F293" s="47">
        <f t="shared" si="14"/>
        <v>0</v>
      </c>
      <c r="G293" s="74">
        <f t="shared" si="15"/>
        <v>0</v>
      </c>
      <c r="H293" s="71"/>
      <c r="I293" s="42"/>
      <c r="J293" s="42"/>
    </row>
    <row r="294" spans="1:11" s="3" customFormat="1" ht="14.5" x14ac:dyDescent="0.35">
      <c r="B294" s="40">
        <v>10</v>
      </c>
      <c r="C294" s="38" t="s">
        <v>62</v>
      </c>
      <c r="D294" s="25">
        <v>0</v>
      </c>
      <c r="E294" s="25">
        <v>0</v>
      </c>
      <c r="F294" s="47">
        <f t="shared" si="14"/>
        <v>0</v>
      </c>
      <c r="G294" s="74">
        <f t="shared" si="15"/>
        <v>0</v>
      </c>
      <c r="H294" s="71"/>
      <c r="I294" s="42"/>
      <c r="J294" s="42"/>
    </row>
    <row r="295" spans="1:11" s="3" customFormat="1" ht="14.5" x14ac:dyDescent="0.35">
      <c r="B295" s="40">
        <v>11</v>
      </c>
      <c r="C295" s="38" t="s">
        <v>63</v>
      </c>
      <c r="D295" s="25">
        <v>0</v>
      </c>
      <c r="E295" s="25">
        <v>0</v>
      </c>
      <c r="F295" s="47">
        <f t="shared" si="14"/>
        <v>0</v>
      </c>
      <c r="G295" s="74">
        <f>+G294+F295</f>
        <v>0</v>
      </c>
      <c r="H295" s="71"/>
      <c r="I295" s="42"/>
      <c r="J295" s="42"/>
    </row>
    <row r="296" spans="1:11" s="3" customFormat="1" ht="14.5" x14ac:dyDescent="0.35">
      <c r="B296" s="40">
        <v>12</v>
      </c>
      <c r="C296" s="38" t="s">
        <v>78</v>
      </c>
      <c r="D296" s="25">
        <v>0</v>
      </c>
      <c r="E296" s="25">
        <v>0</v>
      </c>
      <c r="F296" s="47">
        <f t="shared" si="14"/>
        <v>0</v>
      </c>
      <c r="G296" s="74">
        <f t="shared" si="15"/>
        <v>0</v>
      </c>
      <c r="H296" s="71"/>
      <c r="I296" s="42"/>
      <c r="J296" s="42"/>
    </row>
    <row r="297" spans="1:11" s="3" customFormat="1" ht="14.5" x14ac:dyDescent="0.35">
      <c r="B297" s="40">
        <v>13</v>
      </c>
      <c r="C297" s="38" t="s">
        <v>64</v>
      </c>
      <c r="D297" s="25">
        <v>0</v>
      </c>
      <c r="E297" s="25">
        <v>0</v>
      </c>
      <c r="F297" s="47">
        <f t="shared" si="14"/>
        <v>0</v>
      </c>
      <c r="G297" s="74">
        <f t="shared" si="15"/>
        <v>0</v>
      </c>
      <c r="H297" s="71"/>
      <c r="I297" s="42"/>
      <c r="J297" s="42"/>
    </row>
    <row r="298" spans="1:11" s="3" customFormat="1" ht="15.65" customHeight="1" x14ac:dyDescent="0.35">
      <c r="B298" s="40">
        <v>14</v>
      </c>
      <c r="C298" s="58" t="s">
        <v>65</v>
      </c>
      <c r="D298" s="25">
        <v>0</v>
      </c>
      <c r="E298" s="25">
        <v>0</v>
      </c>
      <c r="F298" s="47">
        <f t="shared" si="14"/>
        <v>0</v>
      </c>
      <c r="G298" s="74">
        <f t="shared" si="15"/>
        <v>0</v>
      </c>
      <c r="H298" s="71"/>
      <c r="I298" s="42"/>
      <c r="J298" s="42"/>
    </row>
    <row r="299" spans="1:11" s="3" customFormat="1" ht="14.5" x14ac:dyDescent="0.35">
      <c r="B299" s="40">
        <v>15</v>
      </c>
      <c r="C299" s="38" t="s">
        <v>66</v>
      </c>
      <c r="D299" s="25">
        <v>0</v>
      </c>
      <c r="E299" s="25">
        <v>0</v>
      </c>
      <c r="F299" s="47">
        <f t="shared" si="14"/>
        <v>0</v>
      </c>
      <c r="G299" s="74">
        <f t="shared" si="15"/>
        <v>0</v>
      </c>
      <c r="H299" s="71"/>
      <c r="I299" s="42"/>
      <c r="J299" s="42"/>
    </row>
    <row r="300" spans="1:11" s="3" customFormat="1" ht="14.5" x14ac:dyDescent="0.35">
      <c r="B300" s="40">
        <v>16</v>
      </c>
      <c r="C300" s="38" t="s">
        <v>67</v>
      </c>
      <c r="D300" s="25">
        <v>0</v>
      </c>
      <c r="E300" s="25">
        <v>0</v>
      </c>
      <c r="F300" s="47">
        <f t="shared" si="14"/>
        <v>0</v>
      </c>
      <c r="G300" s="74">
        <f t="shared" si="15"/>
        <v>0</v>
      </c>
      <c r="H300" s="71"/>
      <c r="I300" s="42"/>
      <c r="J300" s="42"/>
    </row>
    <row r="301" spans="1:11" s="3" customFormat="1" ht="14.5" x14ac:dyDescent="0.35">
      <c r="B301" s="40">
        <v>17</v>
      </c>
      <c r="C301" s="38" t="s">
        <v>68</v>
      </c>
      <c r="D301" s="25">
        <v>0</v>
      </c>
      <c r="E301" s="25">
        <v>0</v>
      </c>
      <c r="F301" s="47">
        <f t="shared" si="14"/>
        <v>0</v>
      </c>
      <c r="G301" s="74">
        <f t="shared" si="15"/>
        <v>0</v>
      </c>
      <c r="H301" s="71"/>
      <c r="I301" s="42"/>
      <c r="J301" s="42"/>
    </row>
    <row r="302" spans="1:11" s="3" customFormat="1" ht="14.5" x14ac:dyDescent="0.35">
      <c r="B302" s="40">
        <v>18</v>
      </c>
      <c r="C302" s="38" t="s">
        <v>69</v>
      </c>
      <c r="D302" s="25">
        <v>0</v>
      </c>
      <c r="E302" s="25">
        <v>0</v>
      </c>
      <c r="F302" s="47">
        <f t="shared" si="14"/>
        <v>0</v>
      </c>
      <c r="G302" s="74">
        <f t="shared" si="15"/>
        <v>0</v>
      </c>
      <c r="H302" s="71"/>
      <c r="I302" s="42"/>
      <c r="J302" s="42"/>
    </row>
    <row r="303" spans="1:11" s="3" customFormat="1" ht="14.5" x14ac:dyDescent="0.35">
      <c r="B303" s="40">
        <v>19</v>
      </c>
      <c r="C303" s="38" t="s">
        <v>70</v>
      </c>
      <c r="D303" s="25">
        <v>0</v>
      </c>
      <c r="E303" s="25">
        <v>0</v>
      </c>
      <c r="F303" s="47">
        <f t="shared" si="14"/>
        <v>0</v>
      </c>
      <c r="G303" s="74">
        <f t="shared" si="15"/>
        <v>0</v>
      </c>
      <c r="H303" s="71"/>
      <c r="I303" s="42"/>
      <c r="J303" s="42"/>
    </row>
    <row r="304" spans="1:11" s="3" customFormat="1" ht="14.5" x14ac:dyDescent="0.35">
      <c r="B304" s="40">
        <v>20</v>
      </c>
      <c r="C304" s="38" t="s">
        <v>71</v>
      </c>
      <c r="D304" s="25">
        <v>0</v>
      </c>
      <c r="E304" s="25">
        <v>0</v>
      </c>
      <c r="F304" s="47">
        <f t="shared" si="14"/>
        <v>0</v>
      </c>
      <c r="G304" s="74">
        <f t="shared" si="15"/>
        <v>0</v>
      </c>
      <c r="H304" s="71"/>
      <c r="I304" s="42"/>
      <c r="J304" s="42"/>
    </row>
    <row r="305" spans="1:10" s="3" customFormat="1" ht="14.5" x14ac:dyDescent="0.35">
      <c r="B305" s="40">
        <v>21</v>
      </c>
      <c r="C305" s="38" t="s">
        <v>72</v>
      </c>
      <c r="D305" s="25">
        <v>0</v>
      </c>
      <c r="E305" s="25">
        <v>0</v>
      </c>
      <c r="F305" s="47">
        <f t="shared" si="14"/>
        <v>0</v>
      </c>
      <c r="G305" s="74">
        <f t="shared" si="15"/>
        <v>0</v>
      </c>
      <c r="H305" s="71"/>
      <c r="I305" s="42"/>
      <c r="J305" s="42"/>
    </row>
    <row r="306" spans="1:10" s="3" customFormat="1" ht="14.5" x14ac:dyDescent="0.35">
      <c r="B306" s="40">
        <v>22</v>
      </c>
      <c r="C306" s="38" t="s">
        <v>73</v>
      </c>
      <c r="D306" s="25">
        <v>0</v>
      </c>
      <c r="E306" s="25">
        <v>0</v>
      </c>
      <c r="F306" s="47">
        <f t="shared" si="14"/>
        <v>0</v>
      </c>
      <c r="G306" s="74">
        <f t="shared" si="15"/>
        <v>0</v>
      </c>
      <c r="H306" s="71"/>
      <c r="I306" s="42"/>
      <c r="J306" s="42"/>
    </row>
    <row r="307" spans="1:10" s="3" customFormat="1" ht="14.5" x14ac:dyDescent="0.35">
      <c r="B307" s="40">
        <v>23</v>
      </c>
      <c r="C307" s="38" t="s">
        <v>74</v>
      </c>
      <c r="D307" s="25">
        <v>0</v>
      </c>
      <c r="E307" s="25">
        <v>0</v>
      </c>
      <c r="F307" s="47">
        <f t="shared" si="14"/>
        <v>0</v>
      </c>
      <c r="G307" s="74">
        <f t="shared" si="15"/>
        <v>0</v>
      </c>
      <c r="H307" s="71"/>
      <c r="I307" s="42"/>
      <c r="J307" s="42"/>
    </row>
    <row r="308" spans="1:10" s="3" customFormat="1" ht="14.5" x14ac:dyDescent="0.35">
      <c r="B308" s="40">
        <v>24</v>
      </c>
      <c r="C308" s="38" t="s">
        <v>75</v>
      </c>
      <c r="D308" s="25">
        <v>0</v>
      </c>
      <c r="E308" s="25">
        <v>0</v>
      </c>
      <c r="F308" s="47">
        <f t="shared" si="14"/>
        <v>0</v>
      </c>
      <c r="G308" s="74">
        <f t="shared" si="15"/>
        <v>0</v>
      </c>
      <c r="H308" s="71"/>
      <c r="I308" s="42"/>
      <c r="J308" s="42"/>
    </row>
    <row r="309" spans="1:10" s="3" customFormat="1" ht="14.5" x14ac:dyDescent="0.35">
      <c r="B309" s="40">
        <v>25</v>
      </c>
      <c r="C309" s="77" t="s">
        <v>76</v>
      </c>
      <c r="D309" s="25">
        <v>0</v>
      </c>
      <c r="E309" s="25">
        <v>0</v>
      </c>
      <c r="F309" s="47">
        <f t="shared" si="14"/>
        <v>0</v>
      </c>
      <c r="G309" s="74">
        <f t="shared" si="15"/>
        <v>0</v>
      </c>
      <c r="H309" s="71"/>
      <c r="I309" s="42"/>
      <c r="J309" s="42"/>
    </row>
    <row r="310" spans="1:10" s="3" customFormat="1" ht="14.5" x14ac:dyDescent="0.35">
      <c r="B310" s="40">
        <v>26</v>
      </c>
      <c r="C310" s="77" t="s">
        <v>77</v>
      </c>
      <c r="D310" s="105">
        <v>0</v>
      </c>
      <c r="E310" s="106">
        <v>0</v>
      </c>
      <c r="F310" s="107">
        <f t="shared" si="14"/>
        <v>0</v>
      </c>
      <c r="G310" s="113">
        <f t="shared" si="15"/>
        <v>0</v>
      </c>
      <c r="H310" s="71"/>
      <c r="I310" s="42"/>
      <c r="J310" s="42"/>
    </row>
    <row r="311" spans="1:10" s="3" customFormat="1" ht="14.5" x14ac:dyDescent="0.35">
      <c r="B311" s="40">
        <v>27</v>
      </c>
      <c r="C311" s="38" t="s">
        <v>81</v>
      </c>
      <c r="D311" s="20">
        <v>0</v>
      </c>
      <c r="E311" s="20">
        <v>0</v>
      </c>
      <c r="F311" s="43">
        <f t="shared" si="14"/>
        <v>0</v>
      </c>
      <c r="G311" s="114">
        <f t="shared" si="15"/>
        <v>0</v>
      </c>
      <c r="H311" s="71"/>
      <c r="I311" s="42"/>
      <c r="J311" s="42"/>
    </row>
    <row r="312" spans="1:10" s="3" customFormat="1" ht="13.25" customHeight="1" x14ac:dyDescent="0.35">
      <c r="B312" s="40">
        <v>28</v>
      </c>
      <c r="C312" s="77" t="s">
        <v>87</v>
      </c>
      <c r="D312" s="25">
        <v>0</v>
      </c>
      <c r="E312" s="25">
        <v>0</v>
      </c>
      <c r="F312" s="47">
        <f t="shared" si="14"/>
        <v>0</v>
      </c>
      <c r="G312" s="76">
        <f t="shared" si="15"/>
        <v>0</v>
      </c>
      <c r="H312" s="71"/>
      <c r="I312" s="42"/>
      <c r="J312" s="42"/>
    </row>
    <row r="313" spans="1:10" ht="14.5" x14ac:dyDescent="0.35">
      <c r="A313" s="3"/>
      <c r="B313" s="8" t="s">
        <v>34</v>
      </c>
      <c r="C313" s="80"/>
      <c r="D313" s="79" t="s">
        <v>52</v>
      </c>
      <c r="E313" s="79" t="s">
        <v>52</v>
      </c>
      <c r="F313" s="79" t="s">
        <v>52</v>
      </c>
      <c r="G313" s="79" t="s">
        <v>52</v>
      </c>
      <c r="H313" s="6" t="s">
        <v>52</v>
      </c>
      <c r="I313" s="3"/>
    </row>
    <row r="314" spans="1:10" ht="14.5" x14ac:dyDescent="0.35">
      <c r="A314" s="3"/>
      <c r="B314" s="9" t="s">
        <v>35</v>
      </c>
      <c r="C314" s="5"/>
      <c r="D314" s="6"/>
      <c r="E314" s="6"/>
      <c r="F314" s="81"/>
      <c r="G314" s="81"/>
      <c r="H314" s="82"/>
      <c r="I314" s="3"/>
    </row>
    <row r="315" spans="1:10" ht="14.5" x14ac:dyDescent="0.35">
      <c r="A315" s="3"/>
      <c r="B315" s="9" t="s">
        <v>36</v>
      </c>
      <c r="C315" s="5"/>
      <c r="D315" s="6"/>
      <c r="E315" s="6"/>
      <c r="F315" s="81"/>
      <c r="G315" s="79" t="s">
        <v>52</v>
      </c>
      <c r="H315" s="6" t="s">
        <v>52</v>
      </c>
      <c r="I315" s="3"/>
    </row>
    <row r="316" spans="1:10" ht="14.5" x14ac:dyDescent="0.35">
      <c r="A316" s="3"/>
      <c r="B316" s="9" t="s">
        <v>37</v>
      </c>
      <c r="C316" s="5"/>
      <c r="D316" s="6"/>
      <c r="E316" s="6"/>
      <c r="F316" s="79" t="s">
        <v>52</v>
      </c>
      <c r="G316" s="79" t="s">
        <v>52</v>
      </c>
      <c r="H316" s="6" t="s">
        <v>52</v>
      </c>
      <c r="I316" s="3"/>
    </row>
    <row r="317" spans="1:10" ht="14.5" x14ac:dyDescent="0.35">
      <c r="A317" s="3"/>
      <c r="B317" s="9" t="s">
        <v>52</v>
      </c>
      <c r="C317" s="78" t="s">
        <v>52</v>
      </c>
      <c r="D317" s="79" t="s">
        <v>52</v>
      </c>
      <c r="E317" s="79" t="s">
        <v>52</v>
      </c>
      <c r="F317" s="79" t="s">
        <v>52</v>
      </c>
      <c r="G317" s="79" t="s">
        <v>52</v>
      </c>
      <c r="H317" s="6" t="s">
        <v>52</v>
      </c>
      <c r="I317" s="3"/>
    </row>
    <row r="318" spans="1:10" ht="14.5" x14ac:dyDescent="0.35">
      <c r="A318" s="3"/>
      <c r="B318" s="59" t="s">
        <v>56</v>
      </c>
      <c r="C318" s="60"/>
      <c r="D318" s="61"/>
      <c r="E318" s="61"/>
      <c r="F318" s="61"/>
      <c r="G318" s="61"/>
      <c r="H318" s="62"/>
      <c r="I318" s="3"/>
    </row>
    <row r="319" spans="1:10" ht="14.5" x14ac:dyDescent="0.35">
      <c r="A319" s="3"/>
      <c r="B319" s="59" t="s">
        <v>51</v>
      </c>
      <c r="C319" s="60"/>
      <c r="D319" s="61"/>
      <c r="E319" s="61" t="s">
        <v>52</v>
      </c>
      <c r="F319" s="61" t="s">
        <v>52</v>
      </c>
      <c r="G319" s="61" t="s">
        <v>52</v>
      </c>
      <c r="H319" s="62" t="s">
        <v>52</v>
      </c>
      <c r="I319" s="3"/>
    </row>
    <row r="320" spans="1:10" ht="14.5" x14ac:dyDescent="0.35">
      <c r="A320" s="3"/>
      <c r="B320" s="3"/>
      <c r="C320" s="63"/>
      <c r="D320" s="64"/>
      <c r="E320" s="64"/>
      <c r="F320" s="64"/>
      <c r="G320" s="64"/>
      <c r="H320" s="39"/>
      <c r="I320" s="3"/>
    </row>
    <row r="321" spans="1:11" ht="14.5" x14ac:dyDescent="0.35">
      <c r="A321" s="3"/>
      <c r="B321" s="3"/>
      <c r="C321" s="63"/>
      <c r="D321" s="64"/>
      <c r="E321" s="64"/>
      <c r="F321" s="64"/>
      <c r="G321" s="64"/>
      <c r="H321" s="39"/>
      <c r="I321" s="3"/>
    </row>
    <row r="322" spans="1:11" ht="16.5" customHeight="1" x14ac:dyDescent="0.45">
      <c r="A322" s="32"/>
      <c r="B322" s="33" t="s">
        <v>52</v>
      </c>
      <c r="C322" s="65" t="s">
        <v>52</v>
      </c>
      <c r="D322" s="197" t="s">
        <v>57</v>
      </c>
      <c r="E322" s="197"/>
      <c r="F322" s="197"/>
      <c r="G322" s="197"/>
      <c r="H322" s="197"/>
      <c r="I322" s="2" t="s">
        <v>0</v>
      </c>
    </row>
    <row r="323" spans="1:11" ht="15.9" customHeight="1" x14ac:dyDescent="0.4">
      <c r="A323" s="3"/>
      <c r="B323" s="128" t="s">
        <v>88</v>
      </c>
      <c r="C323" s="128"/>
      <c r="D323" s="128"/>
      <c r="E323" s="128"/>
      <c r="F323" s="128"/>
      <c r="G323" s="128"/>
      <c r="H323" s="128"/>
      <c r="I323" s="2" t="s">
        <v>1</v>
      </c>
    </row>
    <row r="324" spans="1:11" ht="14.5" x14ac:dyDescent="0.35">
      <c r="A324" s="3"/>
      <c r="B324" s="14"/>
      <c r="C324" s="15"/>
      <c r="D324" s="142" t="s">
        <v>6</v>
      </c>
      <c r="E324" s="142"/>
      <c r="F324" s="142"/>
      <c r="G324" s="142"/>
      <c r="H324" s="191" t="s">
        <v>52</v>
      </c>
      <c r="I324" s="2" t="s">
        <v>2</v>
      </c>
    </row>
    <row r="325" spans="1:11" ht="14.5" x14ac:dyDescent="0.35">
      <c r="A325" s="3"/>
      <c r="B325" s="12"/>
      <c r="C325" s="13"/>
      <c r="D325" s="145" t="s">
        <v>9</v>
      </c>
      <c r="E325" s="145"/>
      <c r="F325" s="145"/>
      <c r="G325" s="145"/>
      <c r="H325" s="191"/>
      <c r="I325" s="2" t="s">
        <v>3</v>
      </c>
    </row>
    <row r="326" spans="1:11" ht="14.5" x14ac:dyDescent="0.35">
      <c r="A326" s="3"/>
      <c r="B326" s="133" t="s">
        <v>10</v>
      </c>
      <c r="C326" s="135" t="s">
        <v>11</v>
      </c>
      <c r="D326" s="51" t="s">
        <v>12</v>
      </c>
      <c r="E326" s="51" t="s">
        <v>13</v>
      </c>
      <c r="F326" s="51" t="s">
        <v>14</v>
      </c>
      <c r="G326" s="66" t="s">
        <v>15</v>
      </c>
      <c r="H326" s="186" t="s">
        <v>52</v>
      </c>
      <c r="I326" s="2" t="s">
        <v>4</v>
      </c>
    </row>
    <row r="327" spans="1:11" ht="14.5" x14ac:dyDescent="0.35">
      <c r="A327" s="3"/>
      <c r="B327" s="133"/>
      <c r="C327" s="135"/>
      <c r="D327" s="154" t="s">
        <v>20</v>
      </c>
      <c r="E327" s="154"/>
      <c r="F327" s="154"/>
      <c r="G327" s="154"/>
      <c r="H327" s="186"/>
      <c r="I327" s="3"/>
    </row>
    <row r="328" spans="1:11" ht="14.5" x14ac:dyDescent="0.35">
      <c r="A328" s="3"/>
      <c r="B328" s="40">
        <v>4</v>
      </c>
      <c r="C328" s="67" t="s">
        <v>21</v>
      </c>
      <c r="D328" s="68">
        <v>76057.22</v>
      </c>
      <c r="E328" s="25">
        <v>0</v>
      </c>
      <c r="F328" s="69">
        <f>+E328+D328</f>
        <v>76057.22</v>
      </c>
      <c r="G328" s="70">
        <f>+F328</f>
        <v>76057.22</v>
      </c>
      <c r="H328" s="71" t="s">
        <v>52</v>
      </c>
      <c r="I328" s="3"/>
    </row>
    <row r="329" spans="1:11" ht="14.5" x14ac:dyDescent="0.35">
      <c r="A329" s="3"/>
      <c r="B329" s="72">
        <v>5</v>
      </c>
      <c r="C329" s="73" t="s">
        <v>22</v>
      </c>
      <c r="D329" s="68">
        <v>250508.2</v>
      </c>
      <c r="E329" s="25">
        <v>0</v>
      </c>
      <c r="F329" s="69">
        <f>+E329+D329</f>
        <v>250508.2</v>
      </c>
      <c r="G329" s="70">
        <f>+G328+F329</f>
        <v>326565.42000000004</v>
      </c>
      <c r="H329" s="71" t="s">
        <v>52</v>
      </c>
      <c r="I329" s="3"/>
    </row>
    <row r="330" spans="1:11" ht="14.5" x14ac:dyDescent="0.35">
      <c r="A330" s="3"/>
      <c r="B330" s="72">
        <v>6</v>
      </c>
      <c r="C330" s="73" t="s">
        <v>23</v>
      </c>
      <c r="D330" s="68">
        <v>106013.4</v>
      </c>
      <c r="E330" s="25">
        <v>0</v>
      </c>
      <c r="F330" s="69">
        <f>+E330+D330</f>
        <v>106013.4</v>
      </c>
      <c r="G330" s="70">
        <f>+G329+F330</f>
        <v>432578.82000000007</v>
      </c>
      <c r="H330" s="71" t="s">
        <v>52</v>
      </c>
      <c r="I330" s="3"/>
    </row>
    <row r="331" spans="1:11" ht="14.5" x14ac:dyDescent="0.35">
      <c r="A331" s="3"/>
      <c r="B331" s="72">
        <v>7</v>
      </c>
      <c r="C331" s="73" t="s">
        <v>24</v>
      </c>
      <c r="D331" s="68">
        <v>133685.13</v>
      </c>
      <c r="E331" s="25">
        <f>185390.63-133685.13</f>
        <v>51705.5</v>
      </c>
      <c r="F331" s="69">
        <f>+E331+D331</f>
        <v>185390.63</v>
      </c>
      <c r="G331" s="70">
        <f>+G330+F331</f>
        <v>617969.45000000007</v>
      </c>
      <c r="H331" s="71" t="s">
        <v>52</v>
      </c>
      <c r="I331" s="3"/>
    </row>
    <row r="332" spans="1:11" ht="14.5" x14ac:dyDescent="0.35">
      <c r="A332" s="3"/>
      <c r="B332" s="40">
        <v>8</v>
      </c>
      <c r="C332" s="38" t="s">
        <v>25</v>
      </c>
      <c r="D332" s="25">
        <v>222264.72</v>
      </c>
      <c r="E332" s="25">
        <v>0</v>
      </c>
      <c r="F332" s="69">
        <f>+E332+D332</f>
        <v>222264.72</v>
      </c>
      <c r="G332" s="70">
        <f>+G331+F332</f>
        <v>840234.17</v>
      </c>
      <c r="H332" s="71"/>
      <c r="I332" s="75"/>
      <c r="J332" s="3"/>
      <c r="K332" s="3"/>
    </row>
    <row r="333" spans="1:11" s="3" customFormat="1" ht="14.5" x14ac:dyDescent="0.35">
      <c r="B333" s="40">
        <v>9</v>
      </c>
      <c r="C333" s="38" t="s">
        <v>26</v>
      </c>
      <c r="D333" s="25">
        <v>218373.12</v>
      </c>
      <c r="E333" s="25">
        <v>0</v>
      </c>
      <c r="F333" s="47">
        <f t="shared" ref="F333:F352" si="16">+E333+D333</f>
        <v>218373.12</v>
      </c>
      <c r="G333" s="74">
        <f t="shared" ref="G333:G352" si="17">+G332+F333</f>
        <v>1058607.29</v>
      </c>
      <c r="H333" s="71"/>
      <c r="I333" s="42"/>
      <c r="J333" s="42"/>
    </row>
    <row r="334" spans="1:11" s="3" customFormat="1" ht="14.5" x14ac:dyDescent="0.35">
      <c r="B334" s="40">
        <v>10</v>
      </c>
      <c r="C334" s="38" t="s">
        <v>62</v>
      </c>
      <c r="D334" s="25">
        <v>98851.59</v>
      </c>
      <c r="E334" s="25">
        <v>0</v>
      </c>
      <c r="F334" s="47">
        <f t="shared" si="16"/>
        <v>98851.59</v>
      </c>
      <c r="G334" s="74">
        <f t="shared" si="17"/>
        <v>1157458.8800000001</v>
      </c>
      <c r="H334" s="71"/>
      <c r="I334" s="42"/>
      <c r="J334" s="42"/>
    </row>
    <row r="335" spans="1:11" s="3" customFormat="1" ht="14.5" x14ac:dyDescent="0.35">
      <c r="B335" s="40">
        <v>11</v>
      </c>
      <c r="C335" s="38" t="s">
        <v>63</v>
      </c>
      <c r="D335" s="25">
        <v>127676.57</v>
      </c>
      <c r="E335" s="25">
        <v>0</v>
      </c>
      <c r="F335" s="47">
        <f t="shared" si="16"/>
        <v>127676.57</v>
      </c>
      <c r="G335" s="74">
        <f t="shared" si="17"/>
        <v>1285135.4500000002</v>
      </c>
      <c r="H335" s="71"/>
      <c r="I335" s="42"/>
      <c r="J335" s="42"/>
    </row>
    <row r="336" spans="1:11" s="3" customFormat="1" ht="14.5" x14ac:dyDescent="0.35">
      <c r="B336" s="40">
        <v>12</v>
      </c>
      <c r="C336" s="38" t="s">
        <v>78</v>
      </c>
      <c r="D336" s="25">
        <v>154602.06</v>
      </c>
      <c r="E336" s="25">
        <v>0</v>
      </c>
      <c r="F336" s="47">
        <f t="shared" si="16"/>
        <v>154602.06</v>
      </c>
      <c r="G336" s="74">
        <f t="shared" si="17"/>
        <v>1439737.5100000002</v>
      </c>
      <c r="H336" s="71"/>
      <c r="I336" s="42"/>
      <c r="J336" s="42"/>
    </row>
    <row r="337" spans="2:10" s="3" customFormat="1" ht="14.5" x14ac:dyDescent="0.35">
      <c r="B337" s="40">
        <v>13</v>
      </c>
      <c r="C337" s="38" t="s">
        <v>64</v>
      </c>
      <c r="D337" s="25">
        <v>94543.7</v>
      </c>
      <c r="E337" s="25">
        <v>0</v>
      </c>
      <c r="F337" s="47">
        <f t="shared" si="16"/>
        <v>94543.7</v>
      </c>
      <c r="G337" s="74">
        <f t="shared" si="17"/>
        <v>1534281.2100000002</v>
      </c>
      <c r="H337" s="71"/>
      <c r="I337" s="42"/>
      <c r="J337" s="42"/>
    </row>
    <row r="338" spans="2:10" s="3" customFormat="1" ht="15" customHeight="1" x14ac:dyDescent="0.35">
      <c r="B338" s="40">
        <v>14</v>
      </c>
      <c r="C338" s="58" t="s">
        <v>65</v>
      </c>
      <c r="D338" s="25">
        <v>48850.03</v>
      </c>
      <c r="E338" s="25">
        <v>0</v>
      </c>
      <c r="F338" s="47">
        <f t="shared" si="16"/>
        <v>48850.03</v>
      </c>
      <c r="G338" s="74">
        <f t="shared" si="17"/>
        <v>1583131.2400000002</v>
      </c>
      <c r="H338" s="71"/>
      <c r="I338" s="42"/>
      <c r="J338" s="42"/>
    </row>
    <row r="339" spans="2:10" s="3" customFormat="1" ht="14.5" x14ac:dyDescent="0.35">
      <c r="B339" s="40">
        <v>15</v>
      </c>
      <c r="C339" s="38" t="s">
        <v>66</v>
      </c>
      <c r="D339" s="25">
        <v>14605.09</v>
      </c>
      <c r="E339" s="25">
        <v>0</v>
      </c>
      <c r="F339" s="47">
        <f t="shared" si="16"/>
        <v>14605.09</v>
      </c>
      <c r="G339" s="74">
        <f t="shared" si="17"/>
        <v>1597736.3300000003</v>
      </c>
      <c r="H339" s="71"/>
      <c r="I339" s="42"/>
      <c r="J339" s="42"/>
    </row>
    <row r="340" spans="2:10" s="3" customFormat="1" ht="14.5" x14ac:dyDescent="0.35">
      <c r="B340" s="40">
        <v>16</v>
      </c>
      <c r="C340" s="38" t="s">
        <v>67</v>
      </c>
      <c r="D340" s="25">
        <v>14286.51</v>
      </c>
      <c r="E340" s="25">
        <v>0</v>
      </c>
      <c r="F340" s="47">
        <f t="shared" si="16"/>
        <v>14286.51</v>
      </c>
      <c r="G340" s="74">
        <f t="shared" si="17"/>
        <v>1612022.8400000003</v>
      </c>
      <c r="H340" s="71"/>
      <c r="I340" s="42"/>
      <c r="J340" s="42"/>
    </row>
    <row r="341" spans="2:10" s="3" customFormat="1" ht="14.5" x14ac:dyDescent="0.35">
      <c r="B341" s="40">
        <v>17</v>
      </c>
      <c r="C341" s="38" t="s">
        <v>68</v>
      </c>
      <c r="D341" s="25">
        <v>59214.02</v>
      </c>
      <c r="E341" s="25">
        <v>0</v>
      </c>
      <c r="F341" s="47">
        <f t="shared" si="16"/>
        <v>59214.02</v>
      </c>
      <c r="G341" s="74">
        <f t="shared" si="17"/>
        <v>1671236.8600000003</v>
      </c>
      <c r="H341" s="71"/>
      <c r="I341" s="42"/>
      <c r="J341" s="42"/>
    </row>
    <row r="342" spans="2:10" s="3" customFormat="1" ht="14.5" x14ac:dyDescent="0.35">
      <c r="B342" s="40">
        <v>18</v>
      </c>
      <c r="C342" s="38" t="s">
        <v>69</v>
      </c>
      <c r="D342" s="25">
        <v>1483.5</v>
      </c>
      <c r="E342" s="25">
        <v>0</v>
      </c>
      <c r="F342" s="47">
        <f t="shared" si="16"/>
        <v>1483.5</v>
      </c>
      <c r="G342" s="74">
        <f t="shared" si="17"/>
        <v>1672720.3600000003</v>
      </c>
      <c r="H342" s="71"/>
      <c r="I342" s="42"/>
      <c r="J342" s="42"/>
    </row>
    <row r="343" spans="2:10" s="3" customFormat="1" ht="14.5" x14ac:dyDescent="0.35">
      <c r="B343" s="40">
        <v>19</v>
      </c>
      <c r="C343" s="38" t="s">
        <v>70</v>
      </c>
      <c r="D343" s="25">
        <v>26882</v>
      </c>
      <c r="E343" s="25">
        <v>0</v>
      </c>
      <c r="F343" s="47">
        <f t="shared" si="16"/>
        <v>26882</v>
      </c>
      <c r="G343" s="74">
        <f t="shared" si="17"/>
        <v>1699602.3600000003</v>
      </c>
      <c r="H343" s="71"/>
      <c r="I343" s="42"/>
      <c r="J343" s="42"/>
    </row>
    <row r="344" spans="2:10" s="3" customFormat="1" ht="14.5" x14ac:dyDescent="0.35">
      <c r="B344" s="40">
        <v>20</v>
      </c>
      <c r="C344" s="38" t="s">
        <v>71</v>
      </c>
      <c r="D344" s="25">
        <v>0</v>
      </c>
      <c r="E344" s="25">
        <v>-18139.5</v>
      </c>
      <c r="F344" s="47">
        <f t="shared" si="16"/>
        <v>-18139.5</v>
      </c>
      <c r="G344" s="74">
        <f t="shared" si="17"/>
        <v>1681462.8600000003</v>
      </c>
      <c r="H344" s="71"/>
      <c r="I344" s="42"/>
      <c r="J344" s="42"/>
    </row>
    <row r="345" spans="2:10" s="3" customFormat="1" ht="14.5" x14ac:dyDescent="0.35">
      <c r="B345" s="40">
        <v>21</v>
      </c>
      <c r="C345" s="38" t="s">
        <v>72</v>
      </c>
      <c r="D345" s="25">
        <v>14085</v>
      </c>
      <c r="E345" s="25">
        <v>0</v>
      </c>
      <c r="F345" s="47">
        <f t="shared" si="16"/>
        <v>14085</v>
      </c>
      <c r="G345" s="74">
        <f t="shared" si="17"/>
        <v>1695547.8600000003</v>
      </c>
      <c r="H345" s="71"/>
      <c r="I345" s="42"/>
      <c r="J345" s="42"/>
    </row>
    <row r="346" spans="2:10" s="3" customFormat="1" ht="14.5" x14ac:dyDescent="0.35">
      <c r="B346" s="40">
        <v>22</v>
      </c>
      <c r="C346" s="38" t="s">
        <v>73</v>
      </c>
      <c r="D346" s="25">
        <v>31932.5</v>
      </c>
      <c r="E346" s="25">
        <v>0</v>
      </c>
      <c r="F346" s="47">
        <f t="shared" si="16"/>
        <v>31932.5</v>
      </c>
      <c r="G346" s="74">
        <f t="shared" si="17"/>
        <v>1727480.3600000003</v>
      </c>
      <c r="H346" s="71"/>
      <c r="I346" s="42"/>
      <c r="J346" s="42"/>
    </row>
    <row r="347" spans="2:10" s="3" customFormat="1" ht="14.5" x14ac:dyDescent="0.35">
      <c r="B347" s="40">
        <v>23</v>
      </c>
      <c r="C347" s="38" t="s">
        <v>74</v>
      </c>
      <c r="D347" s="25">
        <v>10407.5</v>
      </c>
      <c r="E347" s="25">
        <v>0</v>
      </c>
      <c r="F347" s="47">
        <f t="shared" si="16"/>
        <v>10407.5</v>
      </c>
      <c r="G347" s="74">
        <f t="shared" si="17"/>
        <v>1737887.8600000003</v>
      </c>
      <c r="H347" s="71"/>
      <c r="I347" s="42"/>
      <c r="J347" s="42"/>
    </row>
    <row r="348" spans="2:10" s="3" customFormat="1" ht="14.5" x14ac:dyDescent="0.35">
      <c r="B348" s="40">
        <v>24</v>
      </c>
      <c r="C348" s="38" t="s">
        <v>75</v>
      </c>
      <c r="D348" s="25">
        <v>1030</v>
      </c>
      <c r="E348" s="25">
        <v>0</v>
      </c>
      <c r="F348" s="47">
        <f t="shared" si="16"/>
        <v>1030</v>
      </c>
      <c r="G348" s="74">
        <f t="shared" si="17"/>
        <v>1738917.8600000003</v>
      </c>
      <c r="H348" s="71"/>
      <c r="I348" s="42"/>
      <c r="J348" s="42"/>
    </row>
    <row r="349" spans="2:10" s="3" customFormat="1" ht="14.5" x14ac:dyDescent="0.35">
      <c r="B349" s="40">
        <v>25</v>
      </c>
      <c r="C349" s="77" t="s">
        <v>76</v>
      </c>
      <c r="D349" s="25">
        <v>10209</v>
      </c>
      <c r="E349" s="25">
        <v>0</v>
      </c>
      <c r="F349" s="47">
        <f t="shared" si="16"/>
        <v>10209</v>
      </c>
      <c r="G349" s="74">
        <f t="shared" si="17"/>
        <v>1749126.8600000003</v>
      </c>
      <c r="H349" s="71"/>
      <c r="I349" s="42"/>
      <c r="J349" s="42"/>
    </row>
    <row r="350" spans="2:10" s="3" customFormat="1" ht="14.5" x14ac:dyDescent="0.35">
      <c r="B350" s="40">
        <v>26</v>
      </c>
      <c r="C350" s="77" t="s">
        <v>77</v>
      </c>
      <c r="D350" s="105">
        <v>41676.9</v>
      </c>
      <c r="E350" s="106">
        <v>0</v>
      </c>
      <c r="F350" s="107">
        <f t="shared" si="16"/>
        <v>41676.9</v>
      </c>
      <c r="G350" s="113">
        <f t="shared" si="17"/>
        <v>1790803.7600000002</v>
      </c>
      <c r="H350" s="71"/>
      <c r="I350" s="42"/>
      <c r="J350" s="42"/>
    </row>
    <row r="351" spans="2:10" s="3" customFormat="1" ht="14.5" x14ac:dyDescent="0.35">
      <c r="B351" s="40">
        <v>27</v>
      </c>
      <c r="C351" s="38" t="s">
        <v>81</v>
      </c>
      <c r="D351" s="20">
        <v>0</v>
      </c>
      <c r="E351" s="20">
        <v>0</v>
      </c>
      <c r="F351" s="43">
        <f t="shared" si="16"/>
        <v>0</v>
      </c>
      <c r="G351" s="94">
        <f t="shared" si="17"/>
        <v>1790803.7600000002</v>
      </c>
      <c r="H351" s="71"/>
      <c r="I351" s="42"/>
      <c r="J351" s="42"/>
    </row>
    <row r="352" spans="2:10" s="3" customFormat="1" ht="13.25" customHeight="1" x14ac:dyDescent="0.35">
      <c r="B352" s="40">
        <v>28</v>
      </c>
      <c r="C352" s="77" t="s">
        <v>87</v>
      </c>
      <c r="D352" s="25">
        <v>0</v>
      </c>
      <c r="E352" s="25">
        <v>-100966</v>
      </c>
      <c r="F352" s="47">
        <f t="shared" si="16"/>
        <v>-100966</v>
      </c>
      <c r="G352" s="76">
        <f t="shared" si="17"/>
        <v>1689837.7600000002</v>
      </c>
      <c r="H352" s="71"/>
      <c r="I352" s="42"/>
      <c r="J352" s="42"/>
    </row>
    <row r="353" spans="1:10" ht="14.5" x14ac:dyDescent="0.35">
      <c r="A353" s="3"/>
      <c r="B353" s="5" t="s">
        <v>52</v>
      </c>
      <c r="C353" s="78" t="s">
        <v>52</v>
      </c>
      <c r="D353" s="79" t="s">
        <v>52</v>
      </c>
      <c r="E353" s="79" t="s">
        <v>52</v>
      </c>
      <c r="F353" s="79" t="s">
        <v>52</v>
      </c>
      <c r="G353" s="79" t="s">
        <v>52</v>
      </c>
      <c r="H353" s="6" t="s">
        <v>52</v>
      </c>
      <c r="I353" s="3"/>
      <c r="J353" s="89"/>
    </row>
    <row r="354" spans="1:10" ht="14.5" x14ac:dyDescent="0.35">
      <c r="A354" s="3"/>
      <c r="B354" s="8" t="s">
        <v>34</v>
      </c>
      <c r="C354" s="80"/>
      <c r="D354" s="79" t="s">
        <v>52</v>
      </c>
      <c r="E354" s="79" t="s">
        <v>52</v>
      </c>
      <c r="F354" s="79" t="s">
        <v>52</v>
      </c>
      <c r="G354" s="79" t="s">
        <v>52</v>
      </c>
      <c r="H354" s="6" t="s">
        <v>52</v>
      </c>
      <c r="I354" s="3"/>
      <c r="J354" s="89"/>
    </row>
    <row r="355" spans="1:10" ht="14.5" x14ac:dyDescent="0.35">
      <c r="A355" s="3"/>
      <c r="B355" s="9" t="s">
        <v>35</v>
      </c>
      <c r="C355" s="5"/>
      <c r="D355" s="6"/>
      <c r="E355" s="6"/>
      <c r="F355" s="81"/>
      <c r="G355" s="81"/>
      <c r="H355" s="82"/>
      <c r="I355" s="3"/>
    </row>
    <row r="356" spans="1:10" ht="14.5" x14ac:dyDescent="0.35">
      <c r="A356" s="3"/>
      <c r="B356" s="9" t="s">
        <v>36</v>
      </c>
      <c r="C356" s="5"/>
      <c r="D356" s="6"/>
      <c r="E356" s="6"/>
      <c r="F356" s="81"/>
      <c r="G356" s="79" t="s">
        <v>52</v>
      </c>
      <c r="H356" s="6" t="s">
        <v>52</v>
      </c>
      <c r="I356" s="3"/>
    </row>
    <row r="357" spans="1:10" ht="14.5" x14ac:dyDescent="0.35">
      <c r="A357" s="3"/>
      <c r="B357" s="9" t="s">
        <v>37</v>
      </c>
      <c r="C357" s="5"/>
      <c r="D357" s="6"/>
      <c r="E357" s="6"/>
      <c r="F357" s="79" t="s">
        <v>52</v>
      </c>
      <c r="G357" s="79" t="s">
        <v>52</v>
      </c>
      <c r="H357" s="6" t="s">
        <v>52</v>
      </c>
      <c r="I357" s="3"/>
    </row>
    <row r="358" spans="1:10" ht="14.5" x14ac:dyDescent="0.35">
      <c r="A358" s="3"/>
      <c r="B358" s="9" t="s">
        <v>52</v>
      </c>
      <c r="C358" s="78" t="s">
        <v>52</v>
      </c>
      <c r="D358" s="79" t="s">
        <v>52</v>
      </c>
      <c r="E358" s="79" t="s">
        <v>52</v>
      </c>
      <c r="F358" s="79" t="s">
        <v>52</v>
      </c>
      <c r="G358" s="79" t="s">
        <v>52</v>
      </c>
      <c r="H358" s="6" t="s">
        <v>52</v>
      </c>
      <c r="I358" s="3"/>
    </row>
    <row r="359" spans="1:10" ht="14.5" x14ac:dyDescent="0.35">
      <c r="A359" s="3"/>
      <c r="B359" s="9" t="s">
        <v>52</v>
      </c>
      <c r="C359" s="78" t="s">
        <v>52</v>
      </c>
      <c r="D359" s="79" t="s">
        <v>52</v>
      </c>
      <c r="E359" s="79" t="s">
        <v>52</v>
      </c>
      <c r="F359" s="79" t="s">
        <v>52</v>
      </c>
      <c r="G359" s="79" t="s">
        <v>52</v>
      </c>
      <c r="H359" s="6" t="s">
        <v>52</v>
      </c>
      <c r="I359" s="3"/>
    </row>
    <row r="360" spans="1:10" ht="18.5" x14ac:dyDescent="0.45">
      <c r="A360" s="3"/>
      <c r="C360" s="83"/>
      <c r="D360" s="195" t="s">
        <v>38</v>
      </c>
      <c r="E360" s="195"/>
      <c r="F360" s="195"/>
      <c r="G360" s="195"/>
      <c r="H360" s="195"/>
      <c r="I360" s="3"/>
    </row>
    <row r="361" spans="1:10" ht="16" x14ac:dyDescent="0.4">
      <c r="A361" s="35"/>
      <c r="B361" s="26" t="s">
        <v>52</v>
      </c>
      <c r="C361" s="84" t="s">
        <v>52</v>
      </c>
      <c r="D361" s="196" t="s">
        <v>57</v>
      </c>
      <c r="E361" s="196"/>
      <c r="F361" s="196"/>
      <c r="G361" s="196"/>
      <c r="H361" s="196"/>
      <c r="I361" s="35"/>
    </row>
    <row r="362" spans="1:10" ht="15.9" customHeight="1" x14ac:dyDescent="0.4">
      <c r="A362" s="3"/>
      <c r="B362" s="128" t="s">
        <v>88</v>
      </c>
      <c r="C362" s="128"/>
      <c r="D362" s="128"/>
      <c r="E362" s="128"/>
      <c r="F362" s="128"/>
      <c r="G362" s="128"/>
      <c r="H362" s="128"/>
      <c r="I362" s="3"/>
    </row>
    <row r="363" spans="1:10" ht="14.5" x14ac:dyDescent="0.35">
      <c r="A363" s="3"/>
      <c r="B363" s="14"/>
      <c r="C363" s="15"/>
      <c r="D363" s="142" t="s">
        <v>6</v>
      </c>
      <c r="E363" s="142"/>
      <c r="F363" s="142"/>
      <c r="G363" s="142"/>
      <c r="H363" s="191" t="s">
        <v>52</v>
      </c>
      <c r="I363" s="3"/>
    </row>
    <row r="364" spans="1:10" ht="14.5" x14ac:dyDescent="0.35">
      <c r="A364" s="3"/>
      <c r="B364" s="12"/>
      <c r="C364" s="13"/>
      <c r="D364" s="145" t="s">
        <v>9</v>
      </c>
      <c r="E364" s="145"/>
      <c r="F364" s="145"/>
      <c r="G364" s="145"/>
      <c r="H364" s="191"/>
      <c r="I364" s="3"/>
    </row>
    <row r="365" spans="1:10" ht="14.5" x14ac:dyDescent="0.35">
      <c r="A365" s="3"/>
      <c r="B365" s="133" t="s">
        <v>10</v>
      </c>
      <c r="C365" s="135" t="s">
        <v>11</v>
      </c>
      <c r="D365" s="51" t="s">
        <v>12</v>
      </c>
      <c r="E365" s="51" t="s">
        <v>13</v>
      </c>
      <c r="F365" s="51" t="s">
        <v>14</v>
      </c>
      <c r="G365" s="66" t="s">
        <v>15</v>
      </c>
      <c r="H365" s="186" t="s">
        <v>52</v>
      </c>
      <c r="I365" s="3"/>
    </row>
    <row r="366" spans="1:10" ht="14.5" x14ac:dyDescent="0.35">
      <c r="A366" s="3"/>
      <c r="B366" s="133"/>
      <c r="C366" s="135"/>
      <c r="D366" s="154" t="s">
        <v>20</v>
      </c>
      <c r="E366" s="154"/>
      <c r="F366" s="154"/>
      <c r="G366" s="154"/>
      <c r="H366" s="186"/>
      <c r="I366" s="3"/>
    </row>
    <row r="367" spans="1:10" ht="14.5" x14ac:dyDescent="0.35">
      <c r="A367" s="3"/>
      <c r="B367" s="40">
        <v>4</v>
      </c>
      <c r="C367" s="67" t="s">
        <v>21</v>
      </c>
      <c r="D367" s="68">
        <v>37918.22</v>
      </c>
      <c r="E367" s="25">
        <v>0</v>
      </c>
      <c r="F367" s="69">
        <f>+E367+D367</f>
        <v>37918.22</v>
      </c>
      <c r="G367" s="70">
        <f>+F367</f>
        <v>37918.22</v>
      </c>
      <c r="H367" s="71" t="s">
        <v>52</v>
      </c>
      <c r="I367" s="3"/>
    </row>
    <row r="368" spans="1:10" ht="14.5" x14ac:dyDescent="0.35">
      <c r="A368" s="3"/>
      <c r="B368" s="72">
        <v>5</v>
      </c>
      <c r="C368" s="73" t="s">
        <v>22</v>
      </c>
      <c r="D368" s="68">
        <v>48259.5</v>
      </c>
      <c r="E368" s="25">
        <v>0</v>
      </c>
      <c r="F368" s="69">
        <f>+E368+D368</f>
        <v>48259.5</v>
      </c>
      <c r="G368" s="70">
        <f>+G367+F368</f>
        <v>86177.72</v>
      </c>
      <c r="H368" s="71" t="s">
        <v>52</v>
      </c>
      <c r="I368" s="3"/>
    </row>
    <row r="369" spans="1:11" ht="14.5" x14ac:dyDescent="0.35">
      <c r="A369" s="3"/>
      <c r="B369" s="72">
        <v>6</v>
      </c>
      <c r="C369" s="73" t="s">
        <v>23</v>
      </c>
      <c r="D369" s="68">
        <v>32894.22</v>
      </c>
      <c r="E369" s="25">
        <v>0</v>
      </c>
      <c r="F369" s="69">
        <f>+E369+D369</f>
        <v>32894.22</v>
      </c>
      <c r="G369" s="70">
        <f>+G368+F369</f>
        <v>119071.94</v>
      </c>
      <c r="H369" s="71" t="s">
        <v>52</v>
      </c>
      <c r="I369" s="3"/>
    </row>
    <row r="370" spans="1:11" ht="14.5" x14ac:dyDescent="0.35">
      <c r="A370" s="3"/>
      <c r="B370" s="72">
        <v>7</v>
      </c>
      <c r="C370" s="73" t="s">
        <v>24</v>
      </c>
      <c r="D370" s="68">
        <v>67457.5</v>
      </c>
      <c r="E370" s="25">
        <f>119163-67457.5</f>
        <v>51705.5</v>
      </c>
      <c r="F370" s="69">
        <f>+E370+D370</f>
        <v>119163</v>
      </c>
      <c r="G370" s="70">
        <f>+G369+F370</f>
        <v>238234.94</v>
      </c>
      <c r="H370" s="71" t="s">
        <v>52</v>
      </c>
      <c r="I370" s="3"/>
    </row>
    <row r="371" spans="1:11" ht="14.5" x14ac:dyDescent="0.35">
      <c r="A371" s="3"/>
      <c r="B371" s="40">
        <v>8</v>
      </c>
      <c r="C371" s="38" t="s">
        <v>25</v>
      </c>
      <c r="D371" s="25">
        <v>159519.04999999999</v>
      </c>
      <c r="E371" s="25">
        <v>0</v>
      </c>
      <c r="F371" s="69">
        <f>+E371+D371</f>
        <v>159519.04999999999</v>
      </c>
      <c r="G371" s="70">
        <f>+G370+F371</f>
        <v>397753.99</v>
      </c>
      <c r="H371" s="71"/>
      <c r="I371" s="10"/>
      <c r="J371" s="3"/>
      <c r="K371" s="3"/>
    </row>
    <row r="372" spans="1:11" s="3" customFormat="1" ht="14.5" x14ac:dyDescent="0.35">
      <c r="B372" s="40">
        <v>9</v>
      </c>
      <c r="C372" s="38" t="s">
        <v>26</v>
      </c>
      <c r="D372" s="25">
        <v>96343.51</v>
      </c>
      <c r="E372" s="25">
        <v>0</v>
      </c>
      <c r="F372" s="47">
        <f t="shared" ref="F372:F391" si="18">+E372+D372</f>
        <v>96343.51</v>
      </c>
      <c r="G372" s="74">
        <f t="shared" ref="G372:G391" si="19">+G371+F372</f>
        <v>494097.5</v>
      </c>
      <c r="H372" s="71"/>
      <c r="I372" s="42"/>
      <c r="J372" s="42"/>
    </row>
    <row r="373" spans="1:11" s="3" customFormat="1" ht="14.5" x14ac:dyDescent="0.35">
      <c r="B373" s="40">
        <v>10</v>
      </c>
      <c r="C373" s="38" t="s">
        <v>62</v>
      </c>
      <c r="D373" s="25">
        <v>59380.5</v>
      </c>
      <c r="E373" s="25">
        <v>0</v>
      </c>
      <c r="F373" s="47">
        <f t="shared" si="18"/>
        <v>59380.5</v>
      </c>
      <c r="G373" s="74">
        <f t="shared" si="19"/>
        <v>553478</v>
      </c>
      <c r="H373" s="71"/>
      <c r="I373" s="42"/>
      <c r="J373" s="42"/>
    </row>
    <row r="374" spans="1:11" s="3" customFormat="1" ht="14.5" x14ac:dyDescent="0.35">
      <c r="B374" s="40">
        <v>11</v>
      </c>
      <c r="C374" s="38" t="s">
        <v>63</v>
      </c>
      <c r="D374" s="25">
        <v>73991.02</v>
      </c>
      <c r="E374" s="25">
        <v>0</v>
      </c>
      <c r="F374" s="47">
        <f t="shared" si="18"/>
        <v>73991.02</v>
      </c>
      <c r="G374" s="74">
        <f t="shared" si="19"/>
        <v>627469.02</v>
      </c>
      <c r="H374" s="71"/>
      <c r="I374" s="42"/>
      <c r="J374" s="42"/>
    </row>
    <row r="375" spans="1:11" s="3" customFormat="1" ht="14.5" x14ac:dyDescent="0.35">
      <c r="B375" s="40">
        <v>12</v>
      </c>
      <c r="C375" s="38" t="s">
        <v>78</v>
      </c>
      <c r="D375" s="25">
        <v>84057.51</v>
      </c>
      <c r="E375" s="25">
        <v>0</v>
      </c>
      <c r="F375" s="47">
        <f t="shared" si="18"/>
        <v>84057.51</v>
      </c>
      <c r="G375" s="74">
        <f t="shared" si="19"/>
        <v>711526.53</v>
      </c>
      <c r="H375" s="71"/>
      <c r="I375" s="42"/>
      <c r="J375" s="42"/>
    </row>
    <row r="376" spans="1:11" s="3" customFormat="1" ht="14.5" x14ac:dyDescent="0.35">
      <c r="B376" s="40">
        <v>13</v>
      </c>
      <c r="C376" s="38" t="s">
        <v>64</v>
      </c>
      <c r="D376" s="25">
        <v>35014.699999999997</v>
      </c>
      <c r="E376" s="25">
        <v>0</v>
      </c>
      <c r="F376" s="47">
        <f t="shared" si="18"/>
        <v>35014.699999999997</v>
      </c>
      <c r="G376" s="74">
        <f t="shared" si="19"/>
        <v>746541.23</v>
      </c>
      <c r="H376" s="71"/>
      <c r="I376" s="42"/>
      <c r="J376" s="42"/>
    </row>
    <row r="377" spans="1:11" s="3" customFormat="1" ht="15" customHeight="1" x14ac:dyDescent="0.35">
      <c r="B377" s="40">
        <v>14</v>
      </c>
      <c r="C377" s="58" t="s">
        <v>65</v>
      </c>
      <c r="D377" s="25">
        <v>29413.01</v>
      </c>
      <c r="E377" s="25">
        <v>0</v>
      </c>
      <c r="F377" s="47">
        <f t="shared" si="18"/>
        <v>29413.01</v>
      </c>
      <c r="G377" s="74">
        <f t="shared" si="19"/>
        <v>775954.24</v>
      </c>
      <c r="H377" s="71"/>
      <c r="I377" s="42"/>
      <c r="J377" s="42"/>
    </row>
    <row r="378" spans="1:11" s="3" customFormat="1" ht="14.5" x14ac:dyDescent="0.35">
      <c r="B378" s="40">
        <v>15</v>
      </c>
      <c r="C378" s="38" t="s">
        <v>66</v>
      </c>
      <c r="D378" s="25">
        <v>7340</v>
      </c>
      <c r="E378" s="25">
        <v>0</v>
      </c>
      <c r="F378" s="47">
        <f t="shared" si="18"/>
        <v>7340</v>
      </c>
      <c r="G378" s="74">
        <f t="shared" si="19"/>
        <v>783294.24</v>
      </c>
      <c r="H378" s="71"/>
      <c r="I378" s="42"/>
      <c r="J378" s="42"/>
    </row>
    <row r="379" spans="1:11" s="3" customFormat="1" ht="14.5" x14ac:dyDescent="0.35">
      <c r="B379" s="40">
        <v>16</v>
      </c>
      <c r="C379" s="38" t="s">
        <v>67</v>
      </c>
      <c r="D379" s="25">
        <v>409.51</v>
      </c>
      <c r="E379" s="25">
        <v>0</v>
      </c>
      <c r="F379" s="47">
        <f t="shared" si="18"/>
        <v>409.51</v>
      </c>
      <c r="G379" s="74">
        <f t="shared" si="19"/>
        <v>783703.75</v>
      </c>
      <c r="H379" s="71"/>
      <c r="I379" s="42"/>
      <c r="J379" s="42"/>
    </row>
    <row r="380" spans="1:11" s="3" customFormat="1" ht="14.5" x14ac:dyDescent="0.35">
      <c r="B380" s="40">
        <v>17</v>
      </c>
      <c r="C380" s="38" t="s">
        <v>68</v>
      </c>
      <c r="D380" s="25">
        <v>0</v>
      </c>
      <c r="E380" s="25">
        <v>0</v>
      </c>
      <c r="F380" s="47">
        <f t="shared" si="18"/>
        <v>0</v>
      </c>
      <c r="G380" s="74">
        <f t="shared" si="19"/>
        <v>783703.75</v>
      </c>
      <c r="H380" s="71"/>
      <c r="I380" s="42"/>
      <c r="J380" s="42"/>
    </row>
    <row r="381" spans="1:11" s="3" customFormat="1" ht="14.5" x14ac:dyDescent="0.35">
      <c r="B381" s="40">
        <v>18</v>
      </c>
      <c r="C381" s="38" t="s">
        <v>69</v>
      </c>
      <c r="D381" s="25">
        <v>508</v>
      </c>
      <c r="E381" s="25">
        <v>0</v>
      </c>
      <c r="F381" s="47">
        <f t="shared" si="18"/>
        <v>508</v>
      </c>
      <c r="G381" s="74">
        <f t="shared" si="19"/>
        <v>784211.75</v>
      </c>
      <c r="H381" s="71"/>
      <c r="I381" s="42"/>
      <c r="J381" s="42"/>
    </row>
    <row r="382" spans="1:11" s="3" customFormat="1" ht="14.5" x14ac:dyDescent="0.35">
      <c r="B382" s="40">
        <v>19</v>
      </c>
      <c r="C382" s="38" t="s">
        <v>70</v>
      </c>
      <c r="D382" s="25">
        <v>0</v>
      </c>
      <c r="E382" s="25">
        <v>0</v>
      </c>
      <c r="F382" s="47">
        <f t="shared" si="18"/>
        <v>0</v>
      </c>
      <c r="G382" s="74">
        <f t="shared" si="19"/>
        <v>784211.75</v>
      </c>
      <c r="H382" s="71"/>
      <c r="I382" s="42"/>
      <c r="J382" s="42"/>
    </row>
    <row r="383" spans="1:11" s="3" customFormat="1" ht="14.5" x14ac:dyDescent="0.35">
      <c r="B383" s="40">
        <v>20</v>
      </c>
      <c r="C383" s="38" t="s">
        <v>71</v>
      </c>
      <c r="D383" s="25">
        <v>0</v>
      </c>
      <c r="E383" s="25">
        <v>-19420</v>
      </c>
      <c r="F383" s="47">
        <f t="shared" si="18"/>
        <v>-19420</v>
      </c>
      <c r="G383" s="74">
        <f t="shared" si="19"/>
        <v>764791.75</v>
      </c>
      <c r="H383" s="71"/>
      <c r="I383" s="42"/>
      <c r="J383" s="42"/>
    </row>
    <row r="384" spans="1:11" s="3" customFormat="1" ht="14.5" x14ac:dyDescent="0.35">
      <c r="B384" s="40">
        <v>21</v>
      </c>
      <c r="C384" s="38" t="s">
        <v>72</v>
      </c>
      <c r="D384" s="25">
        <v>14085</v>
      </c>
      <c r="E384" s="25">
        <v>0</v>
      </c>
      <c r="F384" s="47">
        <f t="shared" si="18"/>
        <v>14085</v>
      </c>
      <c r="G384" s="74">
        <f t="shared" si="19"/>
        <v>778876.75</v>
      </c>
      <c r="H384" s="71"/>
      <c r="I384" s="42"/>
      <c r="J384" s="42"/>
    </row>
    <row r="385" spans="1:10" s="3" customFormat="1" ht="14.5" x14ac:dyDescent="0.35">
      <c r="B385" s="40">
        <v>22</v>
      </c>
      <c r="C385" s="38" t="s">
        <v>73</v>
      </c>
      <c r="D385" s="25">
        <v>0</v>
      </c>
      <c r="E385" s="25">
        <v>0</v>
      </c>
      <c r="F385" s="47">
        <f t="shared" si="18"/>
        <v>0</v>
      </c>
      <c r="G385" s="74">
        <f t="shared" si="19"/>
        <v>778876.75</v>
      </c>
      <c r="H385" s="71"/>
      <c r="I385" s="42"/>
      <c r="J385" s="42"/>
    </row>
    <row r="386" spans="1:10" s="3" customFormat="1" ht="14.5" x14ac:dyDescent="0.35">
      <c r="B386" s="40">
        <v>23</v>
      </c>
      <c r="C386" s="38" t="s">
        <v>74</v>
      </c>
      <c r="D386" s="25">
        <v>10407.5</v>
      </c>
      <c r="E386" s="25">
        <v>0</v>
      </c>
      <c r="F386" s="47">
        <f t="shared" si="18"/>
        <v>10407.5</v>
      </c>
      <c r="G386" s="74">
        <f t="shared" si="19"/>
        <v>789284.25</v>
      </c>
      <c r="H386" s="71"/>
      <c r="I386" s="42"/>
      <c r="J386" s="42"/>
    </row>
    <row r="387" spans="1:10" s="3" customFormat="1" ht="14.5" x14ac:dyDescent="0.35">
      <c r="B387" s="40">
        <v>24</v>
      </c>
      <c r="C387" s="38" t="s">
        <v>75</v>
      </c>
      <c r="D387" s="25">
        <v>1030</v>
      </c>
      <c r="E387" s="25">
        <v>0</v>
      </c>
      <c r="F387" s="47">
        <f t="shared" si="18"/>
        <v>1030</v>
      </c>
      <c r="G387" s="74">
        <f t="shared" si="19"/>
        <v>790314.25</v>
      </c>
      <c r="H387" s="71"/>
      <c r="I387" s="42"/>
      <c r="J387" s="42"/>
    </row>
    <row r="388" spans="1:10" s="3" customFormat="1" ht="14.5" x14ac:dyDescent="0.35">
      <c r="B388" s="40">
        <v>25</v>
      </c>
      <c r="C388" s="77" t="s">
        <v>76</v>
      </c>
      <c r="D388" s="25">
        <v>10209</v>
      </c>
      <c r="E388" s="25">
        <v>0</v>
      </c>
      <c r="F388" s="47">
        <f t="shared" si="18"/>
        <v>10209</v>
      </c>
      <c r="G388" s="74">
        <f t="shared" si="19"/>
        <v>800523.25</v>
      </c>
      <c r="H388" s="71"/>
      <c r="I388" s="42"/>
      <c r="J388" s="42"/>
    </row>
    <row r="389" spans="1:10" s="3" customFormat="1" ht="14.5" x14ac:dyDescent="0.35">
      <c r="B389" s="40">
        <v>26</v>
      </c>
      <c r="C389" s="77" t="s">
        <v>77</v>
      </c>
      <c r="D389" s="105">
        <v>41676.9</v>
      </c>
      <c r="E389" s="106">
        <v>0</v>
      </c>
      <c r="F389" s="107">
        <f t="shared" si="18"/>
        <v>41676.9</v>
      </c>
      <c r="G389" s="113">
        <f t="shared" si="19"/>
        <v>842200.15</v>
      </c>
      <c r="H389" s="71"/>
      <c r="I389" s="42"/>
      <c r="J389" s="42"/>
    </row>
    <row r="390" spans="1:10" s="3" customFormat="1" ht="14.5" x14ac:dyDescent="0.35">
      <c r="B390" s="40">
        <v>27</v>
      </c>
      <c r="C390" s="38" t="s">
        <v>81</v>
      </c>
      <c r="D390" s="20">
        <v>0</v>
      </c>
      <c r="E390" s="20">
        <v>0</v>
      </c>
      <c r="F390" s="43">
        <f t="shared" si="18"/>
        <v>0</v>
      </c>
      <c r="G390" s="94">
        <f t="shared" si="19"/>
        <v>842200.15</v>
      </c>
      <c r="H390" s="71"/>
      <c r="I390" s="42"/>
      <c r="J390" s="42"/>
    </row>
    <row r="391" spans="1:10" s="3" customFormat="1" ht="13.25" customHeight="1" x14ac:dyDescent="0.35">
      <c r="B391" s="40">
        <v>28</v>
      </c>
      <c r="C391" s="77" t="s">
        <v>87</v>
      </c>
      <c r="D391" s="25">
        <v>0</v>
      </c>
      <c r="E391" s="25">
        <v>0</v>
      </c>
      <c r="F391" s="47">
        <f t="shared" si="18"/>
        <v>0</v>
      </c>
      <c r="G391" s="76">
        <f t="shared" si="19"/>
        <v>842200.15</v>
      </c>
      <c r="H391" s="71"/>
      <c r="I391" s="42"/>
      <c r="J391" s="42"/>
    </row>
    <row r="392" spans="1:10" ht="14.5" x14ac:dyDescent="0.35">
      <c r="A392" s="3"/>
      <c r="B392" s="5" t="s">
        <v>52</v>
      </c>
      <c r="C392" s="78" t="s">
        <v>52</v>
      </c>
      <c r="D392" s="79" t="s">
        <v>52</v>
      </c>
      <c r="E392" s="79" t="s">
        <v>52</v>
      </c>
      <c r="F392" s="79" t="s">
        <v>52</v>
      </c>
      <c r="G392" s="79" t="s">
        <v>52</v>
      </c>
      <c r="H392" s="6" t="s">
        <v>52</v>
      </c>
      <c r="I392" s="3"/>
    </row>
    <row r="393" spans="1:10" ht="14.5" x14ac:dyDescent="0.35">
      <c r="A393" s="3"/>
      <c r="B393" s="8" t="s">
        <v>34</v>
      </c>
      <c r="C393" s="80"/>
      <c r="D393" s="79" t="s">
        <v>52</v>
      </c>
      <c r="E393" s="79" t="s">
        <v>52</v>
      </c>
      <c r="F393" s="79" t="s">
        <v>52</v>
      </c>
      <c r="G393" s="79" t="s">
        <v>52</v>
      </c>
      <c r="H393" s="6" t="s">
        <v>52</v>
      </c>
      <c r="I393" s="3"/>
    </row>
    <row r="394" spans="1:10" ht="14.5" x14ac:dyDescent="0.35">
      <c r="A394" s="3"/>
      <c r="B394" s="9" t="s">
        <v>35</v>
      </c>
      <c r="C394" s="5"/>
      <c r="D394" s="6"/>
      <c r="E394" s="6"/>
      <c r="F394" s="81"/>
      <c r="G394" s="81"/>
      <c r="H394" s="82"/>
      <c r="I394" s="3"/>
    </row>
    <row r="395" spans="1:10" ht="14.5" x14ac:dyDescent="0.35">
      <c r="A395" s="3"/>
      <c r="B395" s="9" t="s">
        <v>36</v>
      </c>
      <c r="C395" s="5"/>
      <c r="D395" s="6"/>
      <c r="E395" s="6"/>
      <c r="F395" s="81"/>
      <c r="G395" s="79" t="s">
        <v>52</v>
      </c>
      <c r="H395" s="6" t="s">
        <v>52</v>
      </c>
      <c r="I395" s="3"/>
    </row>
    <row r="396" spans="1:10" ht="14.5" x14ac:dyDescent="0.35">
      <c r="A396" s="3"/>
      <c r="B396" s="9" t="s">
        <v>37</v>
      </c>
      <c r="C396" s="5"/>
      <c r="D396" s="6"/>
      <c r="E396" s="6"/>
      <c r="F396" s="79" t="s">
        <v>52</v>
      </c>
      <c r="G396" s="79" t="s">
        <v>52</v>
      </c>
      <c r="H396" s="6" t="s">
        <v>52</v>
      </c>
      <c r="I396" s="3"/>
    </row>
    <row r="397" spans="1:10" ht="14.5" x14ac:dyDescent="0.35">
      <c r="A397" s="3"/>
      <c r="B397" s="10"/>
      <c r="C397" s="83"/>
      <c r="D397" s="85"/>
      <c r="E397" s="85"/>
      <c r="F397" s="85"/>
      <c r="G397" s="85"/>
      <c r="H397" s="42"/>
      <c r="I397" s="3"/>
    </row>
    <row r="398" spans="1:10" ht="14.5" x14ac:dyDescent="0.35">
      <c r="A398" s="3"/>
      <c r="B398" s="10"/>
      <c r="C398" s="83"/>
      <c r="D398" s="85"/>
      <c r="E398" s="85"/>
      <c r="F398" s="85"/>
      <c r="G398" s="85"/>
      <c r="H398" s="42"/>
      <c r="I398" s="3"/>
    </row>
    <row r="399" spans="1:10" ht="18.5" x14ac:dyDescent="0.45">
      <c r="A399" s="3"/>
      <c r="C399" s="83"/>
      <c r="D399" s="193" t="s">
        <v>40</v>
      </c>
      <c r="E399" s="193"/>
      <c r="F399" s="193"/>
      <c r="G399" s="193"/>
      <c r="H399" s="193"/>
      <c r="I399" s="3"/>
    </row>
    <row r="400" spans="1:10" ht="16" x14ac:dyDescent="0.4">
      <c r="A400" s="35"/>
      <c r="B400" s="26" t="s">
        <v>52</v>
      </c>
      <c r="C400" s="84" t="s">
        <v>52</v>
      </c>
      <c r="D400" s="194" t="s">
        <v>57</v>
      </c>
      <c r="E400" s="194"/>
      <c r="F400" s="194"/>
      <c r="G400" s="194"/>
      <c r="H400" s="194"/>
      <c r="I400" s="35"/>
    </row>
    <row r="401" spans="1:11" ht="15.9" customHeight="1" x14ac:dyDescent="0.4">
      <c r="A401" s="3"/>
      <c r="B401" s="128" t="s">
        <v>88</v>
      </c>
      <c r="C401" s="128"/>
      <c r="D401" s="128"/>
      <c r="E401" s="128"/>
      <c r="F401" s="128"/>
      <c r="G401" s="128"/>
      <c r="H401" s="128"/>
      <c r="I401" s="3"/>
    </row>
    <row r="402" spans="1:11" ht="14.5" x14ac:dyDescent="0.35">
      <c r="A402" s="3"/>
      <c r="B402" s="14"/>
      <c r="C402" s="15"/>
      <c r="D402" s="142" t="s">
        <v>6</v>
      </c>
      <c r="E402" s="142"/>
      <c r="F402" s="142"/>
      <c r="G402" s="142"/>
      <c r="H402" s="191" t="s">
        <v>52</v>
      </c>
      <c r="I402" s="3"/>
    </row>
    <row r="403" spans="1:11" ht="14.5" x14ac:dyDescent="0.35">
      <c r="A403" s="3"/>
      <c r="B403" s="12"/>
      <c r="C403" s="13"/>
      <c r="D403" s="145" t="s">
        <v>9</v>
      </c>
      <c r="E403" s="145"/>
      <c r="F403" s="145"/>
      <c r="G403" s="145"/>
      <c r="H403" s="191"/>
      <c r="I403" s="3"/>
    </row>
    <row r="404" spans="1:11" ht="14.5" x14ac:dyDescent="0.35">
      <c r="A404" s="3"/>
      <c r="B404" s="133" t="s">
        <v>10</v>
      </c>
      <c r="C404" s="135" t="s">
        <v>11</v>
      </c>
      <c r="D404" s="51" t="s">
        <v>12</v>
      </c>
      <c r="E404" s="51" t="s">
        <v>13</v>
      </c>
      <c r="F404" s="51" t="s">
        <v>14</v>
      </c>
      <c r="G404" s="66" t="s">
        <v>15</v>
      </c>
      <c r="H404" s="186" t="s">
        <v>52</v>
      </c>
      <c r="I404" s="3"/>
    </row>
    <row r="405" spans="1:11" ht="14.5" x14ac:dyDescent="0.35">
      <c r="A405" s="3"/>
      <c r="B405" s="133"/>
      <c r="C405" s="135"/>
      <c r="D405" s="154" t="s">
        <v>20</v>
      </c>
      <c r="E405" s="154"/>
      <c r="F405" s="154"/>
      <c r="G405" s="154"/>
      <c r="H405" s="186"/>
      <c r="I405" s="3"/>
    </row>
    <row r="406" spans="1:11" ht="14.5" x14ac:dyDescent="0.35">
      <c r="A406" s="3"/>
      <c r="B406" s="40">
        <v>4</v>
      </c>
      <c r="C406" s="67" t="s">
        <v>21</v>
      </c>
      <c r="D406" s="25">
        <v>0</v>
      </c>
      <c r="E406" s="25">
        <v>0</v>
      </c>
      <c r="F406" s="25">
        <v>0</v>
      </c>
      <c r="G406" s="25">
        <v>0</v>
      </c>
      <c r="H406" s="71" t="s">
        <v>52</v>
      </c>
      <c r="I406" s="3"/>
    </row>
    <row r="407" spans="1:11" ht="14.5" x14ac:dyDescent="0.35">
      <c r="A407" s="3"/>
      <c r="B407" s="72">
        <v>5</v>
      </c>
      <c r="C407" s="73" t="s">
        <v>22</v>
      </c>
      <c r="D407" s="68">
        <v>174590.58</v>
      </c>
      <c r="E407" s="25">
        <v>0</v>
      </c>
      <c r="F407" s="69">
        <f>+E407+D407</f>
        <v>174590.58</v>
      </c>
      <c r="G407" s="70">
        <f>+F407</f>
        <v>174590.58</v>
      </c>
      <c r="H407" s="71" t="s">
        <v>52</v>
      </c>
      <c r="I407" s="3"/>
    </row>
    <row r="408" spans="1:11" ht="14.5" x14ac:dyDescent="0.35">
      <c r="A408" s="3"/>
      <c r="B408" s="72">
        <v>6</v>
      </c>
      <c r="C408" s="73" t="s">
        <v>23</v>
      </c>
      <c r="D408" s="68">
        <v>47440.58</v>
      </c>
      <c r="E408" s="25">
        <v>0</v>
      </c>
      <c r="F408" s="69">
        <f>+E408+D408</f>
        <v>47440.58</v>
      </c>
      <c r="G408" s="70">
        <f>+G407+F408</f>
        <v>222031.15999999997</v>
      </c>
      <c r="H408" s="71" t="s">
        <v>52</v>
      </c>
      <c r="I408" s="3"/>
    </row>
    <row r="409" spans="1:11" ht="14.5" x14ac:dyDescent="0.35">
      <c r="A409" s="3"/>
      <c r="B409" s="72">
        <v>7</v>
      </c>
      <c r="C409" s="73" t="s">
        <v>24</v>
      </c>
      <c r="D409" s="68">
        <v>50859.1</v>
      </c>
      <c r="E409" s="25">
        <v>0</v>
      </c>
      <c r="F409" s="69">
        <f>+E409+D409</f>
        <v>50859.1</v>
      </c>
      <c r="G409" s="70">
        <f>+G408+F409</f>
        <v>272890.25999999995</v>
      </c>
      <c r="H409" s="71" t="s">
        <v>52</v>
      </c>
      <c r="I409" s="3"/>
    </row>
    <row r="410" spans="1:11" ht="14.5" x14ac:dyDescent="0.35">
      <c r="A410" s="3"/>
      <c r="B410" s="40">
        <v>8</v>
      </c>
      <c r="C410" s="38" t="s">
        <v>25</v>
      </c>
      <c r="D410" s="25">
        <v>2954</v>
      </c>
      <c r="E410" s="25">
        <v>0</v>
      </c>
      <c r="F410" s="69">
        <f>+E410+D410</f>
        <v>2954</v>
      </c>
      <c r="G410" s="70">
        <f>+G409+F410</f>
        <v>275844.25999999995</v>
      </c>
      <c r="H410" s="71"/>
      <c r="I410" s="10"/>
      <c r="J410" s="3"/>
      <c r="K410" s="3"/>
    </row>
    <row r="411" spans="1:11" s="3" customFormat="1" ht="14.5" x14ac:dyDescent="0.35">
      <c r="B411" s="40">
        <v>9</v>
      </c>
      <c r="C411" s="38" t="s">
        <v>26</v>
      </c>
      <c r="D411" s="25">
        <v>58657.59</v>
      </c>
      <c r="E411" s="25">
        <v>0</v>
      </c>
      <c r="F411" s="47">
        <f t="shared" ref="F411:F430" si="20">+E411+D411</f>
        <v>58657.59</v>
      </c>
      <c r="G411" s="74">
        <f t="shared" ref="G411:G430" si="21">+G410+F411</f>
        <v>334501.84999999998</v>
      </c>
      <c r="H411" s="71"/>
      <c r="I411" s="42"/>
      <c r="J411" s="42"/>
    </row>
    <row r="412" spans="1:11" s="3" customFormat="1" ht="14.5" x14ac:dyDescent="0.35">
      <c r="B412" s="40">
        <v>10</v>
      </c>
      <c r="C412" s="38" t="s">
        <v>62</v>
      </c>
      <c r="D412" s="25">
        <v>14518.54</v>
      </c>
      <c r="E412" s="25">
        <v>0</v>
      </c>
      <c r="F412" s="47">
        <f t="shared" si="20"/>
        <v>14518.54</v>
      </c>
      <c r="G412" s="74">
        <f t="shared" si="21"/>
        <v>349020.38999999996</v>
      </c>
      <c r="H412" s="71"/>
      <c r="I412" s="42"/>
      <c r="J412" s="42"/>
    </row>
    <row r="413" spans="1:11" s="3" customFormat="1" ht="14.5" x14ac:dyDescent="0.35">
      <c r="B413" s="40">
        <v>11</v>
      </c>
      <c r="C413" s="38" t="s">
        <v>63</v>
      </c>
      <c r="D413" s="25">
        <v>16435.509999999998</v>
      </c>
      <c r="E413" s="25">
        <v>0</v>
      </c>
      <c r="F413" s="47">
        <f t="shared" si="20"/>
        <v>16435.509999999998</v>
      </c>
      <c r="G413" s="74">
        <f t="shared" si="21"/>
        <v>365455.89999999997</v>
      </c>
      <c r="H413" s="71"/>
      <c r="I413" s="42"/>
      <c r="J413" s="42"/>
    </row>
    <row r="414" spans="1:11" s="3" customFormat="1" ht="14.5" x14ac:dyDescent="0.35">
      <c r="B414" s="40">
        <v>12</v>
      </c>
      <c r="C414" s="38" t="s">
        <v>78</v>
      </c>
      <c r="D414" s="25">
        <v>53900.05</v>
      </c>
      <c r="E414" s="25">
        <v>0</v>
      </c>
      <c r="F414" s="47">
        <f t="shared" si="20"/>
        <v>53900.05</v>
      </c>
      <c r="G414" s="74">
        <f t="shared" si="21"/>
        <v>419355.94999999995</v>
      </c>
      <c r="H414" s="71"/>
      <c r="I414" s="42"/>
      <c r="J414" s="42"/>
    </row>
    <row r="415" spans="1:11" s="3" customFormat="1" ht="14.5" x14ac:dyDescent="0.35">
      <c r="B415" s="40">
        <v>13</v>
      </c>
      <c r="C415" s="38" t="s">
        <v>64</v>
      </c>
      <c r="D415" s="25">
        <v>50930.55</v>
      </c>
      <c r="E415" s="25">
        <v>0</v>
      </c>
      <c r="F415" s="47">
        <f t="shared" si="20"/>
        <v>50930.55</v>
      </c>
      <c r="G415" s="74">
        <f t="shared" si="21"/>
        <v>470286.49999999994</v>
      </c>
      <c r="H415" s="71"/>
      <c r="I415" s="42"/>
      <c r="J415" s="42"/>
    </row>
    <row r="416" spans="1:11" s="3" customFormat="1" ht="15.65" customHeight="1" x14ac:dyDescent="0.35">
      <c r="B416" s="40">
        <v>14</v>
      </c>
      <c r="C416" s="58" t="s">
        <v>65</v>
      </c>
      <c r="D416" s="25">
        <v>5113.51</v>
      </c>
      <c r="E416" s="25">
        <v>0</v>
      </c>
      <c r="F416" s="47">
        <f t="shared" si="20"/>
        <v>5113.51</v>
      </c>
      <c r="G416" s="74">
        <f t="shared" si="21"/>
        <v>475400.00999999995</v>
      </c>
      <c r="H416" s="71"/>
      <c r="I416" s="42"/>
      <c r="J416" s="42"/>
    </row>
    <row r="417" spans="1:10" s="3" customFormat="1" ht="14.5" x14ac:dyDescent="0.35">
      <c r="B417" s="40">
        <v>15</v>
      </c>
      <c r="C417" s="38" t="s">
        <v>66</v>
      </c>
      <c r="D417" s="25">
        <v>4110</v>
      </c>
      <c r="E417" s="25">
        <v>0</v>
      </c>
      <c r="F417" s="47">
        <f t="shared" si="20"/>
        <v>4110</v>
      </c>
      <c r="G417" s="74">
        <f t="shared" si="21"/>
        <v>479510.00999999995</v>
      </c>
      <c r="H417" s="71"/>
      <c r="I417" s="42"/>
      <c r="J417" s="42"/>
    </row>
    <row r="418" spans="1:10" s="3" customFormat="1" ht="14.5" x14ac:dyDescent="0.35">
      <c r="B418" s="40">
        <v>16</v>
      </c>
      <c r="C418" s="38" t="s">
        <v>67</v>
      </c>
      <c r="D418" s="25">
        <v>9478</v>
      </c>
      <c r="E418" s="25">
        <v>0</v>
      </c>
      <c r="F418" s="47">
        <f t="shared" si="20"/>
        <v>9478</v>
      </c>
      <c r="G418" s="74">
        <f t="shared" si="21"/>
        <v>488988.00999999995</v>
      </c>
      <c r="H418" s="71"/>
      <c r="I418" s="42"/>
      <c r="J418" s="42"/>
    </row>
    <row r="419" spans="1:10" s="3" customFormat="1" ht="14.5" x14ac:dyDescent="0.35">
      <c r="B419" s="40">
        <v>17</v>
      </c>
      <c r="C419" s="38" t="s">
        <v>68</v>
      </c>
      <c r="D419" s="25">
        <v>59214.02</v>
      </c>
      <c r="E419" s="25">
        <v>0</v>
      </c>
      <c r="F419" s="47">
        <f t="shared" si="20"/>
        <v>59214.02</v>
      </c>
      <c r="G419" s="74">
        <f t="shared" si="21"/>
        <v>548202.02999999991</v>
      </c>
      <c r="H419" s="71"/>
      <c r="I419" s="42"/>
      <c r="J419" s="42"/>
    </row>
    <row r="420" spans="1:10" s="3" customFormat="1" ht="14.5" x14ac:dyDescent="0.35">
      <c r="B420" s="40">
        <v>18</v>
      </c>
      <c r="C420" s="38" t="s">
        <v>69</v>
      </c>
      <c r="D420" s="25">
        <v>975.5</v>
      </c>
      <c r="E420" s="25">
        <v>0</v>
      </c>
      <c r="F420" s="47">
        <f t="shared" si="20"/>
        <v>975.5</v>
      </c>
      <c r="G420" s="74">
        <f t="shared" si="21"/>
        <v>549177.52999999991</v>
      </c>
      <c r="H420" s="71"/>
      <c r="I420" s="42"/>
      <c r="J420" s="42"/>
    </row>
    <row r="421" spans="1:10" s="3" customFormat="1" ht="14.5" x14ac:dyDescent="0.35">
      <c r="B421" s="40">
        <v>19</v>
      </c>
      <c r="C421" s="38" t="s">
        <v>70</v>
      </c>
      <c r="D421" s="25">
        <v>26882</v>
      </c>
      <c r="E421" s="25">
        <v>0</v>
      </c>
      <c r="F421" s="47">
        <f t="shared" si="20"/>
        <v>26882</v>
      </c>
      <c r="G421" s="74">
        <f t="shared" si="21"/>
        <v>576059.52999999991</v>
      </c>
      <c r="H421" s="71"/>
      <c r="I421" s="42"/>
      <c r="J421" s="42"/>
    </row>
    <row r="422" spans="1:10" s="3" customFormat="1" ht="14.5" x14ac:dyDescent="0.35">
      <c r="B422" s="40">
        <v>20</v>
      </c>
      <c r="C422" s="38" t="s">
        <v>71</v>
      </c>
      <c r="D422" s="25">
        <v>1280.5</v>
      </c>
      <c r="E422" s="25">
        <v>0</v>
      </c>
      <c r="F422" s="47">
        <f t="shared" si="20"/>
        <v>1280.5</v>
      </c>
      <c r="G422" s="74">
        <f t="shared" si="21"/>
        <v>577340.02999999991</v>
      </c>
      <c r="H422" s="71"/>
      <c r="I422" s="42"/>
      <c r="J422" s="42"/>
    </row>
    <row r="423" spans="1:10" s="3" customFormat="1" ht="14.5" x14ac:dyDescent="0.35">
      <c r="B423" s="40">
        <v>21</v>
      </c>
      <c r="C423" s="38" t="s">
        <v>72</v>
      </c>
      <c r="D423" s="25">
        <v>0</v>
      </c>
      <c r="E423" s="25">
        <v>0</v>
      </c>
      <c r="F423" s="47">
        <f t="shared" si="20"/>
        <v>0</v>
      </c>
      <c r="G423" s="74">
        <f t="shared" si="21"/>
        <v>577340.02999999991</v>
      </c>
      <c r="H423" s="71"/>
      <c r="I423" s="42"/>
      <c r="J423" s="42"/>
    </row>
    <row r="424" spans="1:10" s="3" customFormat="1" ht="14.5" x14ac:dyDescent="0.35">
      <c r="B424" s="40">
        <v>22</v>
      </c>
      <c r="C424" s="38" t="s">
        <v>73</v>
      </c>
      <c r="D424" s="25">
        <v>31932.5</v>
      </c>
      <c r="E424" s="25">
        <v>0</v>
      </c>
      <c r="F424" s="47">
        <f t="shared" si="20"/>
        <v>31932.5</v>
      </c>
      <c r="G424" s="74">
        <f t="shared" si="21"/>
        <v>609272.52999999991</v>
      </c>
      <c r="H424" s="71"/>
      <c r="I424" s="42"/>
      <c r="J424" s="42"/>
    </row>
    <row r="425" spans="1:10" s="3" customFormat="1" ht="13.75" customHeight="1" x14ac:dyDescent="0.35">
      <c r="B425" s="40">
        <v>23</v>
      </c>
      <c r="C425" s="38" t="s">
        <v>74</v>
      </c>
      <c r="D425" s="25">
        <v>0</v>
      </c>
      <c r="E425" s="25">
        <v>0</v>
      </c>
      <c r="F425" s="47">
        <f t="shared" si="20"/>
        <v>0</v>
      </c>
      <c r="G425" s="74">
        <f t="shared" si="21"/>
        <v>609272.52999999991</v>
      </c>
      <c r="H425" s="71"/>
      <c r="I425" s="42"/>
      <c r="J425" s="42"/>
    </row>
    <row r="426" spans="1:10" s="3" customFormat="1" ht="14.5" x14ac:dyDescent="0.35">
      <c r="B426" s="40">
        <v>24</v>
      </c>
      <c r="C426" s="38" t="s">
        <v>75</v>
      </c>
      <c r="D426" s="25">
        <v>0</v>
      </c>
      <c r="E426" s="25">
        <v>0</v>
      </c>
      <c r="F426" s="47">
        <f t="shared" si="20"/>
        <v>0</v>
      </c>
      <c r="G426" s="74">
        <f t="shared" si="21"/>
        <v>609272.52999999991</v>
      </c>
      <c r="H426" s="71"/>
      <c r="I426" s="42"/>
      <c r="J426" s="42"/>
    </row>
    <row r="427" spans="1:10" s="3" customFormat="1" ht="14.5" x14ac:dyDescent="0.35">
      <c r="B427" s="40">
        <v>25</v>
      </c>
      <c r="C427" s="77" t="s">
        <v>76</v>
      </c>
      <c r="D427" s="25">
        <v>0</v>
      </c>
      <c r="E427" s="25">
        <v>0</v>
      </c>
      <c r="F427" s="47">
        <f t="shared" si="20"/>
        <v>0</v>
      </c>
      <c r="G427" s="74">
        <f t="shared" si="21"/>
        <v>609272.52999999991</v>
      </c>
      <c r="H427" s="71"/>
      <c r="I427" s="42"/>
      <c r="J427" s="42"/>
    </row>
    <row r="428" spans="1:10" s="3" customFormat="1" ht="14.5" x14ac:dyDescent="0.35">
      <c r="B428" s="40">
        <v>26</v>
      </c>
      <c r="C428" s="77" t="s">
        <v>77</v>
      </c>
      <c r="D428" s="105">
        <v>0</v>
      </c>
      <c r="E428" s="106">
        <v>0</v>
      </c>
      <c r="F428" s="107">
        <f t="shared" si="20"/>
        <v>0</v>
      </c>
      <c r="G428" s="113">
        <f t="shared" si="21"/>
        <v>609272.52999999991</v>
      </c>
      <c r="H428" s="71"/>
      <c r="I428" s="42"/>
      <c r="J428" s="42"/>
    </row>
    <row r="429" spans="1:10" s="3" customFormat="1" ht="14.5" x14ac:dyDescent="0.35">
      <c r="B429" s="40">
        <v>27</v>
      </c>
      <c r="C429" s="38" t="s">
        <v>81</v>
      </c>
      <c r="D429" s="20">
        <v>0</v>
      </c>
      <c r="E429" s="20">
        <v>0</v>
      </c>
      <c r="F429" s="43">
        <f t="shared" si="20"/>
        <v>0</v>
      </c>
      <c r="G429" s="94">
        <f t="shared" si="21"/>
        <v>609272.52999999991</v>
      </c>
      <c r="H429" s="71"/>
      <c r="I429" s="42"/>
      <c r="J429" s="42"/>
    </row>
    <row r="430" spans="1:10" s="3" customFormat="1" ht="13.25" customHeight="1" x14ac:dyDescent="0.35">
      <c r="B430" s="40">
        <v>28</v>
      </c>
      <c r="C430" s="77" t="s">
        <v>87</v>
      </c>
      <c r="D430" s="25">
        <v>0</v>
      </c>
      <c r="E430" s="25">
        <v>-100966</v>
      </c>
      <c r="F430" s="47">
        <f t="shared" si="20"/>
        <v>-100966</v>
      </c>
      <c r="G430" s="76">
        <f t="shared" si="21"/>
        <v>508306.52999999991</v>
      </c>
      <c r="H430" s="71"/>
      <c r="I430" s="42"/>
      <c r="J430" s="42"/>
    </row>
    <row r="431" spans="1:10" ht="14.5" x14ac:dyDescent="0.35">
      <c r="A431" s="3"/>
      <c r="B431" s="5" t="s">
        <v>52</v>
      </c>
      <c r="C431" s="78" t="s">
        <v>52</v>
      </c>
      <c r="D431" s="79" t="s">
        <v>52</v>
      </c>
      <c r="E431" s="79" t="s">
        <v>52</v>
      </c>
      <c r="F431" s="79" t="s">
        <v>52</v>
      </c>
      <c r="G431" s="79" t="s">
        <v>52</v>
      </c>
      <c r="H431" s="6" t="s">
        <v>52</v>
      </c>
      <c r="I431" s="3"/>
    </row>
    <row r="432" spans="1:10" ht="14.5" x14ac:dyDescent="0.35">
      <c r="A432" s="3"/>
      <c r="B432" s="8" t="s">
        <v>34</v>
      </c>
      <c r="C432" s="80"/>
      <c r="D432" s="79" t="s">
        <v>52</v>
      </c>
      <c r="E432" s="79" t="s">
        <v>52</v>
      </c>
      <c r="F432" s="79" t="s">
        <v>52</v>
      </c>
      <c r="G432" s="79" t="s">
        <v>52</v>
      </c>
      <c r="H432" s="6" t="s">
        <v>52</v>
      </c>
      <c r="I432" s="3"/>
    </row>
    <row r="433" spans="1:9" ht="14.5" x14ac:dyDescent="0.35">
      <c r="A433" s="3"/>
      <c r="B433" s="9" t="s">
        <v>35</v>
      </c>
      <c r="C433" s="5"/>
      <c r="D433" s="6"/>
      <c r="E433" s="6"/>
      <c r="F433" s="81"/>
      <c r="G433" s="81"/>
      <c r="H433" s="82"/>
      <c r="I433" s="3"/>
    </row>
    <row r="434" spans="1:9" ht="14.5" x14ac:dyDescent="0.35">
      <c r="A434" s="3"/>
      <c r="B434" s="9" t="s">
        <v>36</v>
      </c>
      <c r="C434" s="5"/>
      <c r="D434" s="6"/>
      <c r="E434" s="6"/>
      <c r="F434" s="81"/>
      <c r="G434" s="79" t="s">
        <v>52</v>
      </c>
      <c r="H434" s="6" t="s">
        <v>52</v>
      </c>
      <c r="I434" s="3"/>
    </row>
    <row r="435" spans="1:9" ht="14.5" x14ac:dyDescent="0.35">
      <c r="A435" s="3"/>
      <c r="B435" s="9" t="s">
        <v>37</v>
      </c>
      <c r="C435" s="5"/>
      <c r="D435" s="6"/>
      <c r="E435" s="6"/>
      <c r="F435" s="79" t="s">
        <v>52</v>
      </c>
      <c r="G435" s="79" t="s">
        <v>52</v>
      </c>
      <c r="H435" s="6" t="s">
        <v>52</v>
      </c>
      <c r="I435" s="3"/>
    </row>
    <row r="436" spans="1:9" ht="14.5" x14ac:dyDescent="0.35">
      <c r="A436" s="3"/>
      <c r="B436" s="3"/>
      <c r="C436" s="63"/>
      <c r="D436" s="64"/>
      <c r="E436" s="64"/>
      <c r="F436" s="64"/>
      <c r="G436" s="64"/>
      <c r="H436" s="39"/>
      <c r="I436" s="3"/>
    </row>
    <row r="437" spans="1:9" ht="14.5" x14ac:dyDescent="0.35">
      <c r="A437" s="3"/>
      <c r="B437" s="3"/>
      <c r="C437" s="63"/>
      <c r="D437" s="64"/>
      <c r="E437" s="64"/>
      <c r="F437" s="64"/>
      <c r="G437" s="64"/>
      <c r="H437" s="39"/>
      <c r="I437" s="3"/>
    </row>
    <row r="438" spans="1:9" ht="18.5" x14ac:dyDescent="0.45">
      <c r="A438" s="3"/>
      <c r="C438" s="83"/>
      <c r="D438" s="188" t="s">
        <v>41</v>
      </c>
      <c r="E438" s="188"/>
      <c r="F438" s="188"/>
      <c r="G438" s="188"/>
      <c r="H438" s="188"/>
      <c r="I438" s="3"/>
    </row>
    <row r="439" spans="1:9" ht="16" x14ac:dyDescent="0.4">
      <c r="A439" s="35"/>
      <c r="B439" s="26" t="s">
        <v>52</v>
      </c>
      <c r="C439" s="84" t="s">
        <v>52</v>
      </c>
      <c r="D439" s="189" t="s">
        <v>57</v>
      </c>
      <c r="E439" s="189"/>
      <c r="F439" s="189"/>
      <c r="G439" s="189"/>
      <c r="H439" s="189"/>
      <c r="I439" s="35"/>
    </row>
    <row r="440" spans="1:9" ht="15.9" customHeight="1" x14ac:dyDescent="0.4">
      <c r="A440" s="3"/>
      <c r="B440" s="128" t="s">
        <v>88</v>
      </c>
      <c r="C440" s="128"/>
      <c r="D440" s="128"/>
      <c r="E440" s="128"/>
      <c r="F440" s="128"/>
      <c r="G440" s="128"/>
      <c r="H440" s="128"/>
      <c r="I440" s="3"/>
    </row>
    <row r="441" spans="1:9" ht="14.5" x14ac:dyDescent="0.35">
      <c r="A441" s="3"/>
      <c r="B441" s="14"/>
      <c r="C441" s="15"/>
      <c r="D441" s="142" t="s">
        <v>6</v>
      </c>
      <c r="E441" s="142"/>
      <c r="F441" s="142"/>
      <c r="G441" s="142"/>
      <c r="H441" s="191" t="s">
        <v>52</v>
      </c>
      <c r="I441" s="3"/>
    </row>
    <row r="442" spans="1:9" ht="14.5" x14ac:dyDescent="0.35">
      <c r="A442" s="3"/>
      <c r="B442" s="12"/>
      <c r="C442" s="13"/>
      <c r="D442" s="145" t="s">
        <v>9</v>
      </c>
      <c r="E442" s="145"/>
      <c r="F442" s="145"/>
      <c r="G442" s="145"/>
      <c r="H442" s="191"/>
      <c r="I442" s="3"/>
    </row>
    <row r="443" spans="1:9" ht="14.5" x14ac:dyDescent="0.35">
      <c r="A443" s="3"/>
      <c r="B443" s="133" t="s">
        <v>10</v>
      </c>
      <c r="C443" s="135" t="s">
        <v>11</v>
      </c>
      <c r="D443" s="51" t="s">
        <v>12</v>
      </c>
      <c r="E443" s="51" t="s">
        <v>13</v>
      </c>
      <c r="F443" s="51" t="s">
        <v>14</v>
      </c>
      <c r="G443" s="66" t="s">
        <v>15</v>
      </c>
      <c r="H443" s="186" t="s">
        <v>52</v>
      </c>
      <c r="I443" s="3"/>
    </row>
    <row r="444" spans="1:9" ht="14.5" x14ac:dyDescent="0.35">
      <c r="A444" s="3"/>
      <c r="B444" s="133"/>
      <c r="C444" s="135"/>
      <c r="D444" s="154" t="s">
        <v>20</v>
      </c>
      <c r="E444" s="154"/>
      <c r="F444" s="154"/>
      <c r="G444" s="154"/>
      <c r="H444" s="186"/>
      <c r="I444" s="3"/>
    </row>
    <row r="445" spans="1:9" ht="14.5" x14ac:dyDescent="0.35">
      <c r="A445" s="3"/>
      <c r="B445" s="40">
        <v>4</v>
      </c>
      <c r="C445" s="67" t="s">
        <v>21</v>
      </c>
      <c r="D445" s="68">
        <v>38139</v>
      </c>
      <c r="E445" s="25">
        <v>0</v>
      </c>
      <c r="F445" s="69">
        <f>+E445+D445</f>
        <v>38139</v>
      </c>
      <c r="G445" s="70">
        <f>+F445</f>
        <v>38139</v>
      </c>
      <c r="H445" s="71" t="s">
        <v>52</v>
      </c>
      <c r="I445" s="3"/>
    </row>
    <row r="446" spans="1:9" ht="14.5" x14ac:dyDescent="0.35">
      <c r="A446" s="3"/>
      <c r="B446" s="72">
        <v>5</v>
      </c>
      <c r="C446" s="73" t="s">
        <v>22</v>
      </c>
      <c r="D446" s="68">
        <v>27658.04</v>
      </c>
      <c r="E446" s="25">
        <v>0</v>
      </c>
      <c r="F446" s="69">
        <f>+E446+D446</f>
        <v>27658.04</v>
      </c>
      <c r="G446" s="70">
        <f>+G445+F446</f>
        <v>65797.040000000008</v>
      </c>
      <c r="H446" s="71" t="s">
        <v>52</v>
      </c>
      <c r="I446" s="3"/>
    </row>
    <row r="447" spans="1:9" ht="14.5" x14ac:dyDescent="0.35">
      <c r="A447" s="3"/>
      <c r="B447" s="72">
        <v>6</v>
      </c>
      <c r="C447" s="73" t="s">
        <v>23</v>
      </c>
      <c r="D447" s="68">
        <v>25678.6</v>
      </c>
      <c r="E447" s="25">
        <v>0</v>
      </c>
      <c r="F447" s="69">
        <f>+E447+D447</f>
        <v>25678.6</v>
      </c>
      <c r="G447" s="70">
        <f>+G446+F447</f>
        <v>91475.640000000014</v>
      </c>
      <c r="H447" s="71" t="s">
        <v>52</v>
      </c>
      <c r="I447" s="3"/>
    </row>
    <row r="448" spans="1:9" ht="14.5" x14ac:dyDescent="0.35">
      <c r="A448" s="3"/>
      <c r="B448" s="72">
        <v>7</v>
      </c>
      <c r="C448" s="73" t="s">
        <v>24</v>
      </c>
      <c r="D448" s="68">
        <v>15368.53</v>
      </c>
      <c r="E448" s="25">
        <v>0</v>
      </c>
      <c r="F448" s="69">
        <f>+E448+D448</f>
        <v>15368.53</v>
      </c>
      <c r="G448" s="70">
        <f>+G447+F448</f>
        <v>106844.17000000001</v>
      </c>
      <c r="H448" s="71" t="s">
        <v>52</v>
      </c>
      <c r="I448" s="3"/>
    </row>
    <row r="449" spans="1:11" ht="14.5" x14ac:dyDescent="0.35">
      <c r="A449" s="3"/>
      <c r="B449" s="40">
        <v>8</v>
      </c>
      <c r="C449" s="38" t="s">
        <v>25</v>
      </c>
      <c r="D449" s="25">
        <v>59791.67</v>
      </c>
      <c r="E449" s="25">
        <v>0</v>
      </c>
      <c r="F449" s="69">
        <f>+E449+D449</f>
        <v>59791.67</v>
      </c>
      <c r="G449" s="70">
        <f>+G448+F449</f>
        <v>166635.84000000003</v>
      </c>
      <c r="H449" s="71"/>
      <c r="I449" s="10"/>
      <c r="J449" s="3"/>
      <c r="K449" s="3"/>
    </row>
    <row r="450" spans="1:11" s="3" customFormat="1" ht="14.5" x14ac:dyDescent="0.35">
      <c r="B450" s="40">
        <v>9</v>
      </c>
      <c r="C450" s="38" t="s">
        <v>26</v>
      </c>
      <c r="D450" s="25">
        <v>63372.02</v>
      </c>
      <c r="E450" s="25">
        <v>0</v>
      </c>
      <c r="F450" s="47">
        <f t="shared" ref="F450:F469" si="22">+E450+D450</f>
        <v>63372.02</v>
      </c>
      <c r="G450" s="74">
        <f t="shared" ref="G450:G469" si="23">+G449+F450</f>
        <v>230007.86000000002</v>
      </c>
      <c r="H450" s="71"/>
      <c r="I450" s="42"/>
      <c r="J450" s="42"/>
    </row>
    <row r="451" spans="1:11" s="3" customFormat="1" ht="14.5" x14ac:dyDescent="0.35">
      <c r="B451" s="40">
        <v>10</v>
      </c>
      <c r="C451" s="38" t="s">
        <v>62</v>
      </c>
      <c r="D451" s="25">
        <v>24952.55</v>
      </c>
      <c r="E451" s="25">
        <v>0</v>
      </c>
      <c r="F451" s="47">
        <f t="shared" si="22"/>
        <v>24952.55</v>
      </c>
      <c r="G451" s="74">
        <f t="shared" si="23"/>
        <v>254960.41</v>
      </c>
      <c r="H451" s="71"/>
      <c r="I451" s="42"/>
      <c r="J451" s="42"/>
    </row>
    <row r="452" spans="1:11" s="3" customFormat="1" ht="14.5" x14ac:dyDescent="0.35">
      <c r="B452" s="40">
        <v>11</v>
      </c>
      <c r="C452" s="38" t="s">
        <v>63</v>
      </c>
      <c r="D452" s="25">
        <v>37250.04</v>
      </c>
      <c r="E452" s="25">
        <v>0</v>
      </c>
      <c r="F452" s="47">
        <f t="shared" si="22"/>
        <v>37250.04</v>
      </c>
      <c r="G452" s="74">
        <f>+G451+F452</f>
        <v>292210.45</v>
      </c>
      <c r="H452" s="71"/>
      <c r="I452" s="42"/>
      <c r="J452" s="42"/>
    </row>
    <row r="453" spans="1:11" s="3" customFormat="1" ht="14.5" x14ac:dyDescent="0.35">
      <c r="B453" s="40">
        <v>12</v>
      </c>
      <c r="C453" s="38" t="s">
        <v>78</v>
      </c>
      <c r="D453" s="25">
        <v>16644.5</v>
      </c>
      <c r="E453" s="25">
        <v>0</v>
      </c>
      <c r="F453" s="47">
        <f t="shared" si="22"/>
        <v>16644.5</v>
      </c>
      <c r="G453" s="74">
        <f t="shared" si="23"/>
        <v>308854.95</v>
      </c>
      <c r="H453" s="71"/>
      <c r="I453" s="42"/>
      <c r="J453" s="42"/>
    </row>
    <row r="454" spans="1:11" s="3" customFormat="1" ht="14.5" x14ac:dyDescent="0.35">
      <c r="B454" s="40">
        <v>13</v>
      </c>
      <c r="C454" s="38" t="s">
        <v>64</v>
      </c>
      <c r="D454" s="25">
        <v>8598.4500000000007</v>
      </c>
      <c r="E454" s="25">
        <v>0</v>
      </c>
      <c r="F454" s="47">
        <f t="shared" si="22"/>
        <v>8598.4500000000007</v>
      </c>
      <c r="G454" s="74">
        <f t="shared" si="23"/>
        <v>317453.40000000002</v>
      </c>
      <c r="H454" s="71"/>
      <c r="I454" s="42"/>
      <c r="J454" s="42"/>
    </row>
    <row r="455" spans="1:11" s="3" customFormat="1" ht="16.25" customHeight="1" x14ac:dyDescent="0.35">
      <c r="B455" s="40">
        <v>14</v>
      </c>
      <c r="C455" s="58" t="s">
        <v>65</v>
      </c>
      <c r="D455" s="25">
        <v>14323.51</v>
      </c>
      <c r="E455" s="25">
        <v>0</v>
      </c>
      <c r="F455" s="47">
        <f t="shared" si="22"/>
        <v>14323.51</v>
      </c>
      <c r="G455" s="74">
        <f t="shared" si="23"/>
        <v>331776.91000000003</v>
      </c>
      <c r="H455" s="71"/>
      <c r="I455" s="42"/>
      <c r="J455" s="42"/>
    </row>
    <row r="456" spans="1:11" s="3" customFormat="1" ht="14.5" x14ac:dyDescent="0.35">
      <c r="B456" s="40">
        <v>15</v>
      </c>
      <c r="C456" s="38" t="s">
        <v>66</v>
      </c>
      <c r="D456" s="25">
        <v>3155.09</v>
      </c>
      <c r="E456" s="25">
        <v>0</v>
      </c>
      <c r="F456" s="47">
        <f t="shared" si="22"/>
        <v>3155.09</v>
      </c>
      <c r="G456" s="74">
        <f t="shared" si="23"/>
        <v>334932.00000000006</v>
      </c>
      <c r="H456" s="71"/>
      <c r="I456" s="42"/>
      <c r="J456" s="42"/>
    </row>
    <row r="457" spans="1:11" s="3" customFormat="1" ht="15.65" customHeight="1" x14ac:dyDescent="0.35">
      <c r="B457" s="40">
        <v>16</v>
      </c>
      <c r="C457" s="38" t="s">
        <v>67</v>
      </c>
      <c r="D457" s="25">
        <v>4399</v>
      </c>
      <c r="E457" s="25">
        <v>0</v>
      </c>
      <c r="F457" s="47">
        <f t="shared" si="22"/>
        <v>4399</v>
      </c>
      <c r="G457" s="74">
        <f t="shared" si="23"/>
        <v>339331.00000000006</v>
      </c>
      <c r="H457" s="71"/>
      <c r="I457" s="42"/>
      <c r="J457" s="42"/>
    </row>
    <row r="458" spans="1:11" s="3" customFormat="1" ht="15.65" customHeight="1" x14ac:dyDescent="0.35">
      <c r="B458" s="40">
        <v>17</v>
      </c>
      <c r="C458" s="38" t="s">
        <v>68</v>
      </c>
      <c r="D458" s="25">
        <v>0</v>
      </c>
      <c r="E458" s="25">
        <v>0</v>
      </c>
      <c r="F458" s="47">
        <f t="shared" si="22"/>
        <v>0</v>
      </c>
      <c r="G458" s="74">
        <f t="shared" si="23"/>
        <v>339331.00000000006</v>
      </c>
      <c r="H458" s="71"/>
      <c r="I458" s="42"/>
      <c r="J458" s="42"/>
    </row>
    <row r="459" spans="1:11" s="3" customFormat="1" ht="15.65" customHeight="1" x14ac:dyDescent="0.35">
      <c r="B459" s="40">
        <v>18</v>
      </c>
      <c r="C459" s="38" t="s">
        <v>69</v>
      </c>
      <c r="D459" s="25">
        <v>0</v>
      </c>
      <c r="E459" s="25">
        <v>0</v>
      </c>
      <c r="F459" s="47">
        <f t="shared" si="22"/>
        <v>0</v>
      </c>
      <c r="G459" s="74">
        <f t="shared" si="23"/>
        <v>339331.00000000006</v>
      </c>
      <c r="H459" s="71"/>
      <c r="I459" s="42"/>
      <c r="J459" s="42"/>
    </row>
    <row r="460" spans="1:11" s="3" customFormat="1" ht="15.65" customHeight="1" x14ac:dyDescent="0.35">
      <c r="B460" s="40">
        <v>19</v>
      </c>
      <c r="C460" s="38" t="s">
        <v>70</v>
      </c>
      <c r="D460" s="25">
        <v>0</v>
      </c>
      <c r="E460" s="25">
        <v>0</v>
      </c>
      <c r="F460" s="47">
        <f t="shared" si="22"/>
        <v>0</v>
      </c>
      <c r="G460" s="74">
        <f t="shared" si="23"/>
        <v>339331.00000000006</v>
      </c>
      <c r="H460" s="71"/>
      <c r="I460" s="42"/>
      <c r="J460" s="42"/>
    </row>
    <row r="461" spans="1:11" s="3" customFormat="1" ht="15.65" customHeight="1" x14ac:dyDescent="0.35">
      <c r="B461" s="40">
        <v>20</v>
      </c>
      <c r="C461" s="38" t="s">
        <v>71</v>
      </c>
      <c r="D461" s="25">
        <v>0</v>
      </c>
      <c r="E461" s="25">
        <v>0</v>
      </c>
      <c r="F461" s="47">
        <f t="shared" si="22"/>
        <v>0</v>
      </c>
      <c r="G461" s="74">
        <f t="shared" si="23"/>
        <v>339331.00000000006</v>
      </c>
      <c r="H461" s="71"/>
      <c r="I461" s="42"/>
      <c r="J461" s="42"/>
    </row>
    <row r="462" spans="1:11" s="3" customFormat="1" ht="15.65" customHeight="1" x14ac:dyDescent="0.35">
      <c r="B462" s="40">
        <v>21</v>
      </c>
      <c r="C462" s="38" t="s">
        <v>72</v>
      </c>
      <c r="D462" s="25">
        <v>0</v>
      </c>
      <c r="E462" s="25">
        <v>0</v>
      </c>
      <c r="F462" s="47">
        <f t="shared" si="22"/>
        <v>0</v>
      </c>
      <c r="G462" s="74">
        <f t="shared" si="23"/>
        <v>339331.00000000006</v>
      </c>
      <c r="H462" s="71"/>
      <c r="I462" s="42"/>
      <c r="J462" s="42"/>
    </row>
    <row r="463" spans="1:11" s="3" customFormat="1" ht="15.65" customHeight="1" x14ac:dyDescent="0.35">
      <c r="B463" s="40">
        <v>22</v>
      </c>
      <c r="C463" s="38" t="s">
        <v>73</v>
      </c>
      <c r="D463" s="25">
        <v>0</v>
      </c>
      <c r="E463" s="25">
        <v>0</v>
      </c>
      <c r="F463" s="47">
        <f t="shared" si="22"/>
        <v>0</v>
      </c>
      <c r="G463" s="74">
        <f t="shared" si="23"/>
        <v>339331.00000000006</v>
      </c>
      <c r="H463" s="71"/>
      <c r="I463" s="42"/>
      <c r="J463" s="42"/>
    </row>
    <row r="464" spans="1:11" s="3" customFormat="1" ht="15.65" customHeight="1" x14ac:dyDescent="0.35">
      <c r="B464" s="40">
        <v>23</v>
      </c>
      <c r="C464" s="38" t="s">
        <v>74</v>
      </c>
      <c r="D464" s="25">
        <v>0</v>
      </c>
      <c r="E464" s="25">
        <v>0</v>
      </c>
      <c r="F464" s="47">
        <f t="shared" si="22"/>
        <v>0</v>
      </c>
      <c r="G464" s="74">
        <f t="shared" si="23"/>
        <v>339331.00000000006</v>
      </c>
      <c r="H464" s="71"/>
      <c r="I464" s="42"/>
      <c r="J464" s="42"/>
    </row>
    <row r="465" spans="1:10" s="3" customFormat="1" ht="15.65" customHeight="1" x14ac:dyDescent="0.35">
      <c r="B465" s="40">
        <v>24</v>
      </c>
      <c r="C465" s="38" t="s">
        <v>75</v>
      </c>
      <c r="D465" s="25">
        <v>0</v>
      </c>
      <c r="E465" s="25">
        <v>0</v>
      </c>
      <c r="F465" s="47">
        <f t="shared" si="22"/>
        <v>0</v>
      </c>
      <c r="G465" s="74">
        <f t="shared" si="23"/>
        <v>339331.00000000006</v>
      </c>
      <c r="H465" s="71"/>
      <c r="I465" s="42"/>
      <c r="J465" s="42"/>
    </row>
    <row r="466" spans="1:10" s="3" customFormat="1" ht="15.65" customHeight="1" x14ac:dyDescent="0.35">
      <c r="B466" s="40">
        <v>25</v>
      </c>
      <c r="C466" s="77" t="s">
        <v>76</v>
      </c>
      <c r="D466" s="25">
        <v>0</v>
      </c>
      <c r="E466" s="25">
        <v>0</v>
      </c>
      <c r="F466" s="47">
        <f t="shared" si="22"/>
        <v>0</v>
      </c>
      <c r="G466" s="74">
        <f t="shared" si="23"/>
        <v>339331.00000000006</v>
      </c>
      <c r="H466" s="71"/>
      <c r="I466" s="42"/>
      <c r="J466" s="42"/>
    </row>
    <row r="467" spans="1:10" s="3" customFormat="1" ht="15.65" customHeight="1" x14ac:dyDescent="0.35">
      <c r="B467" s="40">
        <v>26</v>
      </c>
      <c r="C467" s="77" t="s">
        <v>77</v>
      </c>
      <c r="D467" s="105">
        <v>0</v>
      </c>
      <c r="E467" s="106">
        <v>0</v>
      </c>
      <c r="F467" s="107">
        <f t="shared" si="22"/>
        <v>0</v>
      </c>
      <c r="G467" s="113">
        <f t="shared" si="23"/>
        <v>339331.00000000006</v>
      </c>
      <c r="H467" s="71"/>
      <c r="I467" s="42"/>
      <c r="J467" s="42"/>
    </row>
    <row r="468" spans="1:10" s="3" customFormat="1" ht="14.5" x14ac:dyDescent="0.35">
      <c r="B468" s="40">
        <v>27</v>
      </c>
      <c r="C468" s="38" t="s">
        <v>81</v>
      </c>
      <c r="D468" s="20">
        <v>0</v>
      </c>
      <c r="E468" s="20">
        <v>0</v>
      </c>
      <c r="F468" s="43">
        <f t="shared" si="22"/>
        <v>0</v>
      </c>
      <c r="G468" s="94">
        <f t="shared" si="23"/>
        <v>339331.00000000006</v>
      </c>
      <c r="H468" s="71"/>
      <c r="I468" s="42"/>
      <c r="J468" s="42"/>
    </row>
    <row r="469" spans="1:10" s="3" customFormat="1" ht="13.25" customHeight="1" x14ac:dyDescent="0.35">
      <c r="B469" s="40">
        <v>28</v>
      </c>
      <c r="C469" s="77" t="s">
        <v>87</v>
      </c>
      <c r="D469" s="25">
        <v>0</v>
      </c>
      <c r="E469" s="25">
        <v>0</v>
      </c>
      <c r="F469" s="47">
        <f t="shared" si="22"/>
        <v>0</v>
      </c>
      <c r="G469" s="76">
        <f t="shared" si="23"/>
        <v>339331.00000000006</v>
      </c>
      <c r="H469" s="71"/>
      <c r="I469" s="42"/>
      <c r="J469" s="42"/>
    </row>
    <row r="470" spans="1:10" ht="15.65" customHeight="1" x14ac:dyDescent="0.35">
      <c r="A470" s="3"/>
      <c r="B470" s="5" t="s">
        <v>52</v>
      </c>
      <c r="C470" s="78" t="s">
        <v>52</v>
      </c>
      <c r="D470" s="79" t="s">
        <v>52</v>
      </c>
      <c r="E470" s="79" t="s">
        <v>52</v>
      </c>
      <c r="F470" s="79" t="s">
        <v>52</v>
      </c>
      <c r="G470" s="79" t="s">
        <v>52</v>
      </c>
      <c r="H470" s="6" t="s">
        <v>52</v>
      </c>
      <c r="I470" s="3"/>
    </row>
    <row r="471" spans="1:10" ht="14.5" x14ac:dyDescent="0.35">
      <c r="A471" s="3"/>
      <c r="B471" s="8" t="s">
        <v>34</v>
      </c>
      <c r="C471" s="80"/>
      <c r="D471" s="79" t="s">
        <v>52</v>
      </c>
      <c r="E471" s="79" t="s">
        <v>52</v>
      </c>
      <c r="F471" s="79" t="s">
        <v>52</v>
      </c>
      <c r="G471" s="79" t="s">
        <v>52</v>
      </c>
      <c r="H471" s="6" t="s">
        <v>52</v>
      </c>
      <c r="I471" s="3"/>
    </row>
    <row r="472" spans="1:10" ht="14.5" x14ac:dyDescent="0.35">
      <c r="A472" s="3"/>
      <c r="B472" s="9" t="s">
        <v>35</v>
      </c>
      <c r="C472" s="5"/>
      <c r="D472" s="6"/>
      <c r="E472" s="6"/>
      <c r="F472" s="81"/>
      <c r="G472" s="81"/>
      <c r="H472" s="82"/>
      <c r="I472" s="3"/>
    </row>
    <row r="473" spans="1:10" ht="14.5" x14ac:dyDescent="0.35">
      <c r="A473" s="3"/>
      <c r="B473" s="9" t="s">
        <v>36</v>
      </c>
      <c r="C473" s="5"/>
      <c r="D473" s="6"/>
      <c r="E473" s="6"/>
      <c r="F473" s="81"/>
      <c r="G473" s="79" t="s">
        <v>52</v>
      </c>
      <c r="H473" s="6" t="s">
        <v>52</v>
      </c>
      <c r="I473" s="3"/>
    </row>
    <row r="474" spans="1:10" ht="14.5" x14ac:dyDescent="0.35">
      <c r="A474" s="3"/>
      <c r="B474" s="9" t="s">
        <v>37</v>
      </c>
      <c r="C474" s="5"/>
      <c r="D474" s="6"/>
      <c r="E474" s="6"/>
      <c r="F474" s="79" t="s">
        <v>52</v>
      </c>
      <c r="G474" s="79" t="s">
        <v>52</v>
      </c>
      <c r="H474" s="6" t="s">
        <v>52</v>
      </c>
      <c r="I474" s="3"/>
    </row>
    <row r="475" spans="1:10" ht="14.5" x14ac:dyDescent="0.35">
      <c r="A475" s="3"/>
      <c r="B475" s="3"/>
      <c r="C475" s="63"/>
      <c r="D475" s="64"/>
      <c r="E475" s="64"/>
      <c r="F475" s="64"/>
      <c r="G475" s="64"/>
      <c r="H475" s="39"/>
      <c r="I475" s="3"/>
    </row>
    <row r="476" spans="1:10" ht="14.5" x14ac:dyDescent="0.35">
      <c r="A476" s="3"/>
      <c r="B476" s="59" t="s">
        <v>58</v>
      </c>
      <c r="C476" s="60"/>
      <c r="D476" s="61"/>
      <c r="E476" s="61"/>
      <c r="F476" s="61"/>
      <c r="G476" s="61"/>
      <c r="H476" s="62" t="s">
        <v>52</v>
      </c>
      <c r="I476" s="3"/>
    </row>
    <row r="477" spans="1:10" ht="14.5" x14ac:dyDescent="0.35">
      <c r="A477" s="3"/>
      <c r="B477" s="59" t="s">
        <v>51</v>
      </c>
      <c r="C477" s="60"/>
      <c r="D477" s="61"/>
      <c r="E477" s="61" t="s">
        <v>52</v>
      </c>
      <c r="F477" s="61" t="s">
        <v>52</v>
      </c>
      <c r="G477" s="61" t="s">
        <v>52</v>
      </c>
      <c r="H477" s="62" t="s">
        <v>52</v>
      </c>
      <c r="I477" s="3"/>
    </row>
    <row r="478" spans="1:10" ht="14.5" x14ac:dyDescent="0.35">
      <c r="A478" s="3"/>
      <c r="B478" s="59"/>
      <c r="C478" s="60"/>
      <c r="D478" s="61"/>
      <c r="E478" s="61"/>
      <c r="F478" s="61"/>
      <c r="G478" s="61"/>
      <c r="H478" s="62"/>
      <c r="I478" s="3"/>
    </row>
    <row r="479" spans="1:10" ht="14.5" x14ac:dyDescent="0.35">
      <c r="A479" s="3"/>
      <c r="B479" s="3"/>
      <c r="C479" s="63"/>
      <c r="D479" s="64"/>
      <c r="E479" s="64"/>
      <c r="F479" s="64"/>
      <c r="G479" s="64"/>
      <c r="H479" s="39"/>
      <c r="I479" s="3"/>
    </row>
    <row r="480" spans="1:10" ht="14.5" x14ac:dyDescent="0.35">
      <c r="A480" s="3"/>
      <c r="B480" s="3"/>
      <c r="C480" s="63"/>
      <c r="D480" s="64"/>
      <c r="E480" s="64"/>
      <c r="F480" s="64"/>
      <c r="G480" s="64"/>
      <c r="H480" s="39"/>
      <c r="I480" s="3"/>
    </row>
    <row r="481" spans="1:11" ht="16.5" customHeight="1" x14ac:dyDescent="0.45">
      <c r="A481" s="32"/>
      <c r="B481" s="33" t="s">
        <v>52</v>
      </c>
      <c r="C481" s="65" t="s">
        <v>52</v>
      </c>
      <c r="D481" s="197" t="s">
        <v>59</v>
      </c>
      <c r="E481" s="197"/>
      <c r="F481" s="197"/>
      <c r="G481" s="197"/>
      <c r="H481" s="197"/>
      <c r="I481" s="2" t="s">
        <v>0</v>
      </c>
    </row>
    <row r="482" spans="1:11" ht="15.9" customHeight="1" x14ac:dyDescent="0.4">
      <c r="A482" s="3"/>
      <c r="B482" s="128" t="s">
        <v>88</v>
      </c>
      <c r="C482" s="128"/>
      <c r="D482" s="128"/>
      <c r="E482" s="128"/>
      <c r="F482" s="128"/>
      <c r="G482" s="128"/>
      <c r="H482" s="128"/>
      <c r="I482" s="2" t="s">
        <v>1</v>
      </c>
    </row>
    <row r="483" spans="1:11" ht="14.5" x14ac:dyDescent="0.35">
      <c r="A483" s="3"/>
      <c r="B483" s="14"/>
      <c r="C483" s="15"/>
      <c r="D483" s="142" t="s">
        <v>6</v>
      </c>
      <c r="E483" s="142"/>
      <c r="F483" s="142"/>
      <c r="G483" s="142"/>
      <c r="H483" s="191" t="s">
        <v>52</v>
      </c>
      <c r="I483" s="2" t="s">
        <v>2</v>
      </c>
    </row>
    <row r="484" spans="1:11" ht="14.5" x14ac:dyDescent="0.35">
      <c r="A484" s="3"/>
      <c r="B484" s="12"/>
      <c r="C484" s="13"/>
      <c r="D484" s="145" t="s">
        <v>9</v>
      </c>
      <c r="E484" s="145"/>
      <c r="F484" s="145"/>
      <c r="G484" s="145"/>
      <c r="H484" s="191"/>
      <c r="I484" s="2" t="s">
        <v>3</v>
      </c>
    </row>
    <row r="485" spans="1:11" ht="14.5" x14ac:dyDescent="0.35">
      <c r="A485" s="3"/>
      <c r="B485" s="133" t="s">
        <v>10</v>
      </c>
      <c r="C485" s="135" t="s">
        <v>11</v>
      </c>
      <c r="D485" s="51" t="s">
        <v>12</v>
      </c>
      <c r="E485" s="51" t="s">
        <v>13</v>
      </c>
      <c r="F485" s="51" t="s">
        <v>14</v>
      </c>
      <c r="G485" s="66" t="s">
        <v>15</v>
      </c>
      <c r="H485" s="186" t="s">
        <v>52</v>
      </c>
      <c r="I485" s="2" t="s">
        <v>4</v>
      </c>
    </row>
    <row r="486" spans="1:11" ht="14.5" x14ac:dyDescent="0.35">
      <c r="A486" s="3"/>
      <c r="B486" s="133"/>
      <c r="C486" s="135"/>
      <c r="D486" s="154" t="s">
        <v>20</v>
      </c>
      <c r="E486" s="154"/>
      <c r="F486" s="154"/>
      <c r="G486" s="154"/>
      <c r="H486" s="186"/>
      <c r="I486" s="3"/>
    </row>
    <row r="487" spans="1:11" ht="14.5" x14ac:dyDescent="0.35">
      <c r="A487" s="3"/>
      <c r="B487" s="40">
        <v>4</v>
      </c>
      <c r="C487" s="67" t="s">
        <v>21</v>
      </c>
      <c r="D487" s="68">
        <v>33002</v>
      </c>
      <c r="E487" s="25">
        <v>0</v>
      </c>
      <c r="F487" s="69">
        <f>+E487+D487</f>
        <v>33002</v>
      </c>
      <c r="G487" s="70">
        <f>+F487</f>
        <v>33002</v>
      </c>
      <c r="H487" s="71" t="s">
        <v>52</v>
      </c>
      <c r="I487" s="3"/>
    </row>
    <row r="488" spans="1:11" ht="14.5" x14ac:dyDescent="0.35">
      <c r="A488" s="3"/>
      <c r="B488" s="72">
        <v>5</v>
      </c>
      <c r="C488" s="73" t="s">
        <v>22</v>
      </c>
      <c r="D488" s="68">
        <v>132694.17000000001</v>
      </c>
      <c r="E488" s="25">
        <v>0</v>
      </c>
      <c r="F488" s="69">
        <f>+E488+D488</f>
        <v>132694.17000000001</v>
      </c>
      <c r="G488" s="70">
        <f>+G487+F488</f>
        <v>165696.17000000001</v>
      </c>
      <c r="H488" s="71" t="s">
        <v>52</v>
      </c>
      <c r="I488" s="3"/>
    </row>
    <row r="489" spans="1:11" ht="14.5" x14ac:dyDescent="0.35">
      <c r="A489" s="3"/>
      <c r="B489" s="72">
        <v>6</v>
      </c>
      <c r="C489" s="73" t="s">
        <v>23</v>
      </c>
      <c r="D489" s="68">
        <v>66514.61</v>
      </c>
      <c r="E489" s="25">
        <v>0</v>
      </c>
      <c r="F489" s="69">
        <f>+E489+D489</f>
        <v>66514.61</v>
      </c>
      <c r="G489" s="70">
        <f>+G488+F489</f>
        <v>232210.78000000003</v>
      </c>
      <c r="H489" s="71" t="s">
        <v>52</v>
      </c>
      <c r="I489" s="3"/>
    </row>
    <row r="490" spans="1:11" ht="14.5" x14ac:dyDescent="0.35">
      <c r="A490" s="3"/>
      <c r="B490" s="72">
        <v>7</v>
      </c>
      <c r="C490" s="73" t="s">
        <v>24</v>
      </c>
      <c r="D490" s="68">
        <v>112205.12</v>
      </c>
      <c r="E490" s="25">
        <v>0</v>
      </c>
      <c r="F490" s="69">
        <f>+E490+D490</f>
        <v>112205.12</v>
      </c>
      <c r="G490" s="70">
        <f>+G489+F490</f>
        <v>344415.9</v>
      </c>
      <c r="H490" s="71" t="s">
        <v>52</v>
      </c>
      <c r="I490" s="3"/>
    </row>
    <row r="491" spans="1:11" ht="14.5" x14ac:dyDescent="0.35">
      <c r="A491" s="3"/>
      <c r="B491" s="40">
        <v>8</v>
      </c>
      <c r="C491" s="38" t="s">
        <v>25</v>
      </c>
      <c r="D491" s="25">
        <v>117213.18</v>
      </c>
      <c r="E491" s="25">
        <v>0</v>
      </c>
      <c r="F491" s="69">
        <f>+E491+D491</f>
        <v>117213.18</v>
      </c>
      <c r="G491" s="70">
        <f>+G490+F491</f>
        <v>461629.08</v>
      </c>
      <c r="H491" s="71"/>
      <c r="I491" s="75"/>
      <c r="J491" s="3"/>
      <c r="K491" s="3"/>
    </row>
    <row r="492" spans="1:11" s="3" customFormat="1" ht="14.5" x14ac:dyDescent="0.35">
      <c r="B492" s="40">
        <v>9</v>
      </c>
      <c r="C492" s="38" t="s">
        <v>26</v>
      </c>
      <c r="D492" s="25">
        <v>156231.19</v>
      </c>
      <c r="E492" s="25">
        <v>0</v>
      </c>
      <c r="F492" s="47">
        <f t="shared" ref="F492:F511" si="24">+E492+D492</f>
        <v>156231.19</v>
      </c>
      <c r="G492" s="74">
        <f t="shared" ref="G492:G511" si="25">+G491+F492</f>
        <v>617860.27</v>
      </c>
      <c r="H492" s="71"/>
      <c r="I492" s="42"/>
      <c r="J492" s="42"/>
    </row>
    <row r="493" spans="1:11" s="3" customFormat="1" ht="14.5" x14ac:dyDescent="0.35">
      <c r="B493" s="40">
        <v>10</v>
      </c>
      <c r="C493" s="38" t="s">
        <v>62</v>
      </c>
      <c r="D493" s="25">
        <v>46719.1</v>
      </c>
      <c r="E493" s="25">
        <v>0</v>
      </c>
      <c r="F493" s="47">
        <f t="shared" si="24"/>
        <v>46719.1</v>
      </c>
      <c r="G493" s="74">
        <f t="shared" si="25"/>
        <v>664579.37</v>
      </c>
      <c r="H493" s="71"/>
      <c r="I493" s="42"/>
      <c r="J493" s="42"/>
    </row>
    <row r="494" spans="1:11" s="3" customFormat="1" ht="14.5" x14ac:dyDescent="0.35">
      <c r="B494" s="40">
        <v>11</v>
      </c>
      <c r="C494" s="38" t="s">
        <v>63</v>
      </c>
      <c r="D494" s="25">
        <v>143498.67000000001</v>
      </c>
      <c r="E494" s="25">
        <v>0</v>
      </c>
      <c r="F494" s="47">
        <f t="shared" si="24"/>
        <v>143498.67000000001</v>
      </c>
      <c r="G494" s="74">
        <f t="shared" si="25"/>
        <v>808078.04</v>
      </c>
      <c r="H494" s="71"/>
      <c r="I494" s="42"/>
      <c r="J494" s="42"/>
    </row>
    <row r="495" spans="1:11" s="3" customFormat="1" ht="14.5" x14ac:dyDescent="0.35">
      <c r="B495" s="40">
        <v>12</v>
      </c>
      <c r="C495" s="38" t="s">
        <v>78</v>
      </c>
      <c r="D495" s="25">
        <v>202059.68</v>
      </c>
      <c r="E495" s="25">
        <v>0</v>
      </c>
      <c r="F495" s="47">
        <f t="shared" si="24"/>
        <v>202059.68</v>
      </c>
      <c r="G495" s="74">
        <f t="shared" si="25"/>
        <v>1010137.72</v>
      </c>
      <c r="H495" s="71"/>
      <c r="I495" s="42"/>
      <c r="J495" s="42"/>
    </row>
    <row r="496" spans="1:11" s="3" customFormat="1" ht="14.5" x14ac:dyDescent="0.35">
      <c r="B496" s="40">
        <v>13</v>
      </c>
      <c r="C496" s="38" t="s">
        <v>64</v>
      </c>
      <c r="D496" s="25">
        <v>151322.65</v>
      </c>
      <c r="E496" s="25">
        <v>0</v>
      </c>
      <c r="F496" s="47">
        <f t="shared" si="24"/>
        <v>151322.65</v>
      </c>
      <c r="G496" s="74">
        <f t="shared" si="25"/>
        <v>1161460.3699999999</v>
      </c>
      <c r="H496" s="71"/>
      <c r="I496" s="42"/>
      <c r="J496" s="42"/>
    </row>
    <row r="497" spans="1:10" s="3" customFormat="1" ht="16.75" customHeight="1" x14ac:dyDescent="0.35">
      <c r="B497" s="40">
        <v>14</v>
      </c>
      <c r="C497" s="58" t="s">
        <v>65</v>
      </c>
      <c r="D497" s="25">
        <v>84872.6</v>
      </c>
      <c r="E497" s="25">
        <v>0</v>
      </c>
      <c r="F497" s="47">
        <f t="shared" si="24"/>
        <v>84872.6</v>
      </c>
      <c r="G497" s="74">
        <f t="shared" si="25"/>
        <v>1246332.97</v>
      </c>
      <c r="H497" s="71"/>
      <c r="I497" s="42"/>
      <c r="J497" s="42"/>
    </row>
    <row r="498" spans="1:10" s="3" customFormat="1" ht="14.5" x14ac:dyDescent="0.35">
      <c r="B498" s="40">
        <v>15</v>
      </c>
      <c r="C498" s="38" t="s">
        <v>66</v>
      </c>
      <c r="D498" s="25">
        <v>41239</v>
      </c>
      <c r="E498" s="25">
        <v>0</v>
      </c>
      <c r="F498" s="47">
        <f t="shared" si="24"/>
        <v>41239</v>
      </c>
      <c r="G498" s="74">
        <f t="shared" si="25"/>
        <v>1287571.97</v>
      </c>
      <c r="H498" s="71"/>
      <c r="I498" s="42"/>
      <c r="J498" s="42"/>
    </row>
    <row r="499" spans="1:10" s="3" customFormat="1" ht="14.5" x14ac:dyDescent="0.35">
      <c r="B499" s="40">
        <v>16</v>
      </c>
      <c r="C499" s="38" t="s">
        <v>67</v>
      </c>
      <c r="D499" s="25">
        <v>84408.52</v>
      </c>
      <c r="E499" s="25">
        <v>0</v>
      </c>
      <c r="F499" s="47">
        <f t="shared" si="24"/>
        <v>84408.52</v>
      </c>
      <c r="G499" s="74">
        <f t="shared" si="25"/>
        <v>1371980.49</v>
      </c>
      <c r="H499" s="71"/>
      <c r="I499" s="42"/>
      <c r="J499" s="42"/>
    </row>
    <row r="500" spans="1:10" s="3" customFormat="1" ht="14.5" x14ac:dyDescent="0.35">
      <c r="B500" s="40">
        <v>17</v>
      </c>
      <c r="C500" s="38" t="s">
        <v>68</v>
      </c>
      <c r="D500" s="25">
        <v>29959.02</v>
      </c>
      <c r="E500" s="25">
        <v>0</v>
      </c>
      <c r="F500" s="47">
        <f t="shared" si="24"/>
        <v>29959.02</v>
      </c>
      <c r="G500" s="74">
        <f t="shared" si="25"/>
        <v>1401939.51</v>
      </c>
      <c r="H500" s="71"/>
      <c r="I500" s="42"/>
      <c r="J500" s="42"/>
    </row>
    <row r="501" spans="1:10" s="3" customFormat="1" ht="14.5" x14ac:dyDescent="0.35">
      <c r="B501" s="40">
        <v>18</v>
      </c>
      <c r="C501" s="38" t="s">
        <v>69</v>
      </c>
      <c r="D501" s="25">
        <v>15322</v>
      </c>
      <c r="E501" s="25">
        <v>0</v>
      </c>
      <c r="F501" s="47">
        <f t="shared" si="24"/>
        <v>15322</v>
      </c>
      <c r="G501" s="74">
        <f t="shared" si="25"/>
        <v>1417261.51</v>
      </c>
      <c r="H501" s="71"/>
      <c r="I501" s="42"/>
      <c r="J501" s="42"/>
    </row>
    <row r="502" spans="1:10" s="3" customFormat="1" ht="14.5" x14ac:dyDescent="0.35">
      <c r="B502" s="40">
        <v>19</v>
      </c>
      <c r="C502" s="38" t="s">
        <v>70</v>
      </c>
      <c r="D502" s="25">
        <v>0</v>
      </c>
      <c r="E502" s="25">
        <v>0</v>
      </c>
      <c r="F502" s="47">
        <f t="shared" si="24"/>
        <v>0</v>
      </c>
      <c r="G502" s="74">
        <f t="shared" si="25"/>
        <v>1417261.51</v>
      </c>
      <c r="H502" s="71"/>
      <c r="I502" s="42"/>
      <c r="J502" s="42"/>
    </row>
    <row r="503" spans="1:10" s="3" customFormat="1" ht="14.5" x14ac:dyDescent="0.35">
      <c r="B503" s="40">
        <v>20</v>
      </c>
      <c r="C503" s="38" t="s">
        <v>71</v>
      </c>
      <c r="D503" s="25">
        <v>0</v>
      </c>
      <c r="E503" s="25">
        <v>0</v>
      </c>
      <c r="F503" s="47">
        <f t="shared" si="24"/>
        <v>0</v>
      </c>
      <c r="G503" s="74">
        <f t="shared" si="25"/>
        <v>1417261.51</v>
      </c>
      <c r="H503" s="71"/>
      <c r="I503" s="42"/>
      <c r="J503" s="42"/>
    </row>
    <row r="504" spans="1:10" s="3" customFormat="1" ht="14.5" x14ac:dyDescent="0.35">
      <c r="B504" s="40">
        <v>21</v>
      </c>
      <c r="C504" s="38" t="s">
        <v>72</v>
      </c>
      <c r="D504" s="25">
        <v>5113.5</v>
      </c>
      <c r="E504" s="25">
        <v>0</v>
      </c>
      <c r="F504" s="47">
        <f t="shared" si="24"/>
        <v>5113.5</v>
      </c>
      <c r="G504" s="74">
        <f t="shared" si="25"/>
        <v>1422375.01</v>
      </c>
      <c r="H504" s="71"/>
      <c r="I504" s="42"/>
      <c r="J504" s="42"/>
    </row>
    <row r="505" spans="1:10" s="3" customFormat="1" ht="14.5" x14ac:dyDescent="0.35">
      <c r="B505" s="40">
        <v>22</v>
      </c>
      <c r="C505" s="38" t="s">
        <v>73</v>
      </c>
      <c r="D505" s="25">
        <v>0</v>
      </c>
      <c r="E505" s="25">
        <v>0</v>
      </c>
      <c r="F505" s="47">
        <f t="shared" si="24"/>
        <v>0</v>
      </c>
      <c r="G505" s="74">
        <f t="shared" si="25"/>
        <v>1422375.01</v>
      </c>
      <c r="H505" s="71"/>
      <c r="I505" s="42"/>
      <c r="J505" s="42"/>
    </row>
    <row r="506" spans="1:10" s="3" customFormat="1" ht="14.5" x14ac:dyDescent="0.35">
      <c r="B506" s="40">
        <v>23</v>
      </c>
      <c r="C506" s="38" t="s">
        <v>74</v>
      </c>
      <c r="D506" s="25">
        <v>0</v>
      </c>
      <c r="E506" s="25">
        <v>0</v>
      </c>
      <c r="F506" s="47">
        <f t="shared" si="24"/>
        <v>0</v>
      </c>
      <c r="G506" s="74">
        <f t="shared" si="25"/>
        <v>1422375.01</v>
      </c>
      <c r="H506" s="71"/>
      <c r="I506" s="42"/>
      <c r="J506" s="42"/>
    </row>
    <row r="507" spans="1:10" s="3" customFormat="1" ht="14.5" x14ac:dyDescent="0.35">
      <c r="B507" s="40">
        <v>24</v>
      </c>
      <c r="C507" s="38" t="s">
        <v>75</v>
      </c>
      <c r="D507" s="25">
        <v>0</v>
      </c>
      <c r="E507" s="25">
        <v>0</v>
      </c>
      <c r="F507" s="47">
        <f t="shared" si="24"/>
        <v>0</v>
      </c>
      <c r="G507" s="74">
        <f t="shared" si="25"/>
        <v>1422375.01</v>
      </c>
      <c r="H507" s="71"/>
      <c r="I507" s="42"/>
      <c r="J507" s="42"/>
    </row>
    <row r="508" spans="1:10" s="3" customFormat="1" ht="14.5" x14ac:dyDescent="0.35">
      <c r="B508" s="40">
        <v>25</v>
      </c>
      <c r="C508" s="77" t="s">
        <v>76</v>
      </c>
      <c r="D508" s="25">
        <v>0</v>
      </c>
      <c r="E508" s="25">
        <v>0</v>
      </c>
      <c r="F508" s="47">
        <f t="shared" si="24"/>
        <v>0</v>
      </c>
      <c r="G508" s="74">
        <f t="shared" si="25"/>
        <v>1422375.01</v>
      </c>
      <c r="H508" s="71"/>
      <c r="I508" s="42"/>
      <c r="J508" s="42"/>
    </row>
    <row r="509" spans="1:10" s="3" customFormat="1" ht="14.5" x14ac:dyDescent="0.35">
      <c r="B509" s="40">
        <v>26</v>
      </c>
      <c r="C509" s="77" t="s">
        <v>77</v>
      </c>
      <c r="D509" s="105">
        <v>0</v>
      </c>
      <c r="E509" s="106">
        <v>0</v>
      </c>
      <c r="F509" s="107">
        <f t="shared" si="24"/>
        <v>0</v>
      </c>
      <c r="G509" s="113">
        <f t="shared" si="25"/>
        <v>1422375.01</v>
      </c>
      <c r="H509" s="71"/>
      <c r="I509" s="42"/>
      <c r="J509" s="42"/>
    </row>
    <row r="510" spans="1:10" s="3" customFormat="1" ht="14.5" x14ac:dyDescent="0.35">
      <c r="B510" s="40">
        <v>27</v>
      </c>
      <c r="C510" s="38" t="s">
        <v>81</v>
      </c>
      <c r="D510" s="20">
        <v>0</v>
      </c>
      <c r="E510" s="20">
        <v>0</v>
      </c>
      <c r="F510" s="43">
        <f t="shared" si="24"/>
        <v>0</v>
      </c>
      <c r="G510" s="94">
        <f t="shared" si="25"/>
        <v>1422375.01</v>
      </c>
      <c r="H510" s="71"/>
      <c r="I510" s="42"/>
      <c r="J510" s="42"/>
    </row>
    <row r="511" spans="1:10" s="3" customFormat="1" ht="13.25" customHeight="1" x14ac:dyDescent="0.35">
      <c r="B511" s="40">
        <v>28</v>
      </c>
      <c r="C511" s="77" t="s">
        <v>87</v>
      </c>
      <c r="D511" s="25">
        <v>0</v>
      </c>
      <c r="E511" s="25">
        <v>0</v>
      </c>
      <c r="F511" s="47">
        <f t="shared" si="24"/>
        <v>0</v>
      </c>
      <c r="G511" s="76">
        <f t="shared" si="25"/>
        <v>1422375.01</v>
      </c>
      <c r="H511" s="71"/>
      <c r="I511" s="42"/>
      <c r="J511" s="42"/>
    </row>
    <row r="512" spans="1:10" ht="14.5" x14ac:dyDescent="0.35">
      <c r="A512" s="3"/>
      <c r="B512" s="5" t="s">
        <v>52</v>
      </c>
      <c r="C512" s="78" t="s">
        <v>52</v>
      </c>
      <c r="D512" s="79" t="s">
        <v>52</v>
      </c>
      <c r="E512" s="79" t="s">
        <v>52</v>
      </c>
      <c r="F512" s="79" t="s">
        <v>52</v>
      </c>
      <c r="G512" s="79" t="s">
        <v>52</v>
      </c>
      <c r="H512" s="6" t="s">
        <v>52</v>
      </c>
      <c r="I512" s="39"/>
      <c r="J512" s="89"/>
    </row>
    <row r="513" spans="1:10" ht="14.5" x14ac:dyDescent="0.35">
      <c r="A513" s="3"/>
      <c r="B513" s="8" t="s">
        <v>34</v>
      </c>
      <c r="C513" s="80"/>
      <c r="D513" s="79" t="s">
        <v>52</v>
      </c>
      <c r="E513" s="79" t="s">
        <v>52</v>
      </c>
      <c r="F513" s="79" t="s">
        <v>52</v>
      </c>
      <c r="G513" s="79" t="s">
        <v>52</v>
      </c>
      <c r="H513" s="6" t="s">
        <v>52</v>
      </c>
      <c r="I513" s="3"/>
      <c r="J513" s="89"/>
    </row>
    <row r="514" spans="1:10" ht="14.5" x14ac:dyDescent="0.35">
      <c r="A514" s="3"/>
      <c r="B514" s="9" t="s">
        <v>35</v>
      </c>
      <c r="C514" s="5"/>
      <c r="D514" s="6"/>
      <c r="E514" s="6"/>
      <c r="F514" s="81"/>
      <c r="G514" s="81"/>
      <c r="H514" s="82"/>
      <c r="I514" s="3"/>
    </row>
    <row r="515" spans="1:10" ht="14.5" x14ac:dyDescent="0.35">
      <c r="A515" s="3"/>
      <c r="B515" s="9" t="s">
        <v>36</v>
      </c>
      <c r="C515" s="5"/>
      <c r="D515" s="6"/>
      <c r="E515" s="6"/>
      <c r="F515" s="81"/>
      <c r="G515" s="79" t="s">
        <v>52</v>
      </c>
      <c r="H515" s="6" t="s">
        <v>52</v>
      </c>
      <c r="I515" s="3"/>
    </row>
    <row r="516" spans="1:10" ht="14.5" x14ac:dyDescent="0.35">
      <c r="A516" s="3"/>
      <c r="B516" s="9" t="s">
        <v>37</v>
      </c>
      <c r="C516" s="5"/>
      <c r="D516" s="6"/>
      <c r="E516" s="6"/>
      <c r="F516" s="79" t="s">
        <v>52</v>
      </c>
      <c r="G516" s="79" t="s">
        <v>52</v>
      </c>
      <c r="H516" s="6" t="s">
        <v>52</v>
      </c>
      <c r="I516" s="3"/>
    </row>
    <row r="517" spans="1:10" ht="14.5" x14ac:dyDescent="0.35">
      <c r="A517" s="3"/>
      <c r="B517" s="9" t="s">
        <v>52</v>
      </c>
      <c r="C517" s="78" t="s">
        <v>52</v>
      </c>
      <c r="D517" s="79" t="s">
        <v>52</v>
      </c>
      <c r="E517" s="79" t="s">
        <v>52</v>
      </c>
      <c r="F517" s="79" t="s">
        <v>52</v>
      </c>
      <c r="G517" s="79" t="s">
        <v>52</v>
      </c>
      <c r="H517" s="6" t="s">
        <v>52</v>
      </c>
      <c r="I517" s="3"/>
    </row>
    <row r="518" spans="1:10" ht="14.5" x14ac:dyDescent="0.35">
      <c r="A518" s="3"/>
      <c r="B518" s="9" t="s">
        <v>52</v>
      </c>
      <c r="C518" s="78" t="s">
        <v>52</v>
      </c>
      <c r="D518" s="79" t="s">
        <v>52</v>
      </c>
      <c r="E518" s="79" t="s">
        <v>52</v>
      </c>
      <c r="F518" s="79" t="s">
        <v>52</v>
      </c>
      <c r="G518" s="79" t="s">
        <v>52</v>
      </c>
      <c r="H518" s="6" t="s">
        <v>52</v>
      </c>
      <c r="I518" s="3"/>
    </row>
    <row r="519" spans="1:10" ht="18.5" x14ac:dyDescent="0.45">
      <c r="A519" s="3"/>
      <c r="C519" s="83"/>
      <c r="D519" s="195" t="s">
        <v>38</v>
      </c>
      <c r="E519" s="195"/>
      <c r="F519" s="195"/>
      <c r="G519" s="195"/>
      <c r="H519" s="195"/>
      <c r="I519" s="3"/>
    </row>
    <row r="520" spans="1:10" ht="16" x14ac:dyDescent="0.4">
      <c r="A520" s="35"/>
      <c r="B520" s="26" t="s">
        <v>52</v>
      </c>
      <c r="C520" s="84" t="s">
        <v>52</v>
      </c>
      <c r="D520" s="196" t="s">
        <v>59</v>
      </c>
      <c r="E520" s="196"/>
      <c r="F520" s="196"/>
      <c r="G520" s="196"/>
      <c r="H520" s="196"/>
      <c r="I520" s="35"/>
    </row>
    <row r="521" spans="1:10" ht="15.9" customHeight="1" x14ac:dyDescent="0.4">
      <c r="A521" s="3"/>
      <c r="B521" s="128" t="s">
        <v>88</v>
      </c>
      <c r="C521" s="128"/>
      <c r="D521" s="128"/>
      <c r="E521" s="128"/>
      <c r="F521" s="128"/>
      <c r="G521" s="128"/>
      <c r="H521" s="128"/>
      <c r="I521" s="3"/>
    </row>
    <row r="522" spans="1:10" ht="14.5" x14ac:dyDescent="0.35">
      <c r="A522" s="3"/>
      <c r="B522" s="14"/>
      <c r="C522" s="15"/>
      <c r="D522" s="142" t="s">
        <v>6</v>
      </c>
      <c r="E522" s="142"/>
      <c r="F522" s="142"/>
      <c r="G522" s="142"/>
      <c r="H522" s="191" t="s">
        <v>52</v>
      </c>
      <c r="I522" s="3"/>
    </row>
    <row r="523" spans="1:10" ht="14.5" x14ac:dyDescent="0.35">
      <c r="A523" s="3"/>
      <c r="B523" s="12"/>
      <c r="C523" s="13"/>
      <c r="D523" s="145" t="s">
        <v>9</v>
      </c>
      <c r="E523" s="145"/>
      <c r="F523" s="145"/>
      <c r="G523" s="145"/>
      <c r="H523" s="191"/>
      <c r="I523" s="3"/>
    </row>
    <row r="524" spans="1:10" ht="14.5" x14ac:dyDescent="0.35">
      <c r="A524" s="3"/>
      <c r="B524" s="133" t="s">
        <v>10</v>
      </c>
      <c r="C524" s="135" t="s">
        <v>11</v>
      </c>
      <c r="D524" s="51" t="s">
        <v>12</v>
      </c>
      <c r="E524" s="51" t="s">
        <v>13</v>
      </c>
      <c r="F524" s="51" t="s">
        <v>14</v>
      </c>
      <c r="G524" s="66" t="s">
        <v>15</v>
      </c>
      <c r="H524" s="186" t="s">
        <v>52</v>
      </c>
      <c r="I524" s="3"/>
    </row>
    <row r="525" spans="1:10" ht="14.5" x14ac:dyDescent="0.35">
      <c r="A525" s="3"/>
      <c r="B525" s="133"/>
      <c r="C525" s="135"/>
      <c r="D525" s="154" t="s">
        <v>20</v>
      </c>
      <c r="E525" s="154"/>
      <c r="F525" s="154"/>
      <c r="G525" s="154"/>
      <c r="H525" s="186"/>
      <c r="I525" s="3"/>
    </row>
    <row r="526" spans="1:10" ht="14.5" x14ac:dyDescent="0.35">
      <c r="A526" s="3"/>
      <c r="B526" s="40">
        <v>4</v>
      </c>
      <c r="C526" s="67" t="s">
        <v>21</v>
      </c>
      <c r="D526" s="25">
        <v>0</v>
      </c>
      <c r="E526" s="25">
        <v>0</v>
      </c>
      <c r="F526" s="25">
        <v>0</v>
      </c>
      <c r="G526" s="25">
        <v>0</v>
      </c>
      <c r="H526" s="71" t="s">
        <v>52</v>
      </c>
      <c r="I526" s="3"/>
    </row>
    <row r="527" spans="1:10" ht="14.5" x14ac:dyDescent="0.35">
      <c r="A527" s="3"/>
      <c r="B527" s="72">
        <v>5</v>
      </c>
      <c r="C527" s="73" t="s">
        <v>22</v>
      </c>
      <c r="D527" s="68">
        <v>2504.5</v>
      </c>
      <c r="E527" s="25">
        <v>0</v>
      </c>
      <c r="F527" s="69">
        <f>+E527+D527</f>
        <v>2504.5</v>
      </c>
      <c r="G527" s="70">
        <f>+F527</f>
        <v>2504.5</v>
      </c>
      <c r="H527" s="71" t="s">
        <v>52</v>
      </c>
      <c r="I527" s="3"/>
    </row>
    <row r="528" spans="1:10" ht="14.5" x14ac:dyDescent="0.35">
      <c r="A528" s="3"/>
      <c r="B528" s="72">
        <v>6</v>
      </c>
      <c r="C528" s="73" t="s">
        <v>23</v>
      </c>
      <c r="D528" s="25">
        <v>0</v>
      </c>
      <c r="E528" s="25">
        <v>0</v>
      </c>
      <c r="F528" s="69">
        <f>+E528+D528</f>
        <v>0</v>
      </c>
      <c r="G528" s="70">
        <f>+F528+G527</f>
        <v>2504.5</v>
      </c>
      <c r="H528" s="71" t="s">
        <v>52</v>
      </c>
      <c r="I528" s="3"/>
    </row>
    <row r="529" spans="1:11" ht="14.5" x14ac:dyDescent="0.35">
      <c r="A529" s="3"/>
      <c r="B529" s="72">
        <v>7</v>
      </c>
      <c r="C529" s="73" t="s">
        <v>24</v>
      </c>
      <c r="D529" s="68">
        <v>28710.5</v>
      </c>
      <c r="E529" s="25">
        <v>0</v>
      </c>
      <c r="F529" s="69">
        <f>+E529+D529</f>
        <v>28710.5</v>
      </c>
      <c r="G529" s="70">
        <f>+F529+G528</f>
        <v>31215</v>
      </c>
      <c r="H529" s="71" t="s">
        <v>52</v>
      </c>
      <c r="I529" s="3"/>
    </row>
    <row r="530" spans="1:11" ht="14.5" x14ac:dyDescent="0.35">
      <c r="A530" s="3"/>
      <c r="B530" s="40">
        <v>8</v>
      </c>
      <c r="C530" s="38" t="s">
        <v>25</v>
      </c>
      <c r="D530" s="25">
        <v>1769.51</v>
      </c>
      <c r="E530" s="25">
        <v>0</v>
      </c>
      <c r="F530" s="69">
        <f>+E530+D530</f>
        <v>1769.51</v>
      </c>
      <c r="G530" s="70">
        <f>+F530+G529</f>
        <v>32984.51</v>
      </c>
      <c r="H530" s="71"/>
      <c r="I530" s="10"/>
      <c r="J530" s="3"/>
      <c r="K530" s="3"/>
    </row>
    <row r="531" spans="1:11" s="3" customFormat="1" ht="14.5" x14ac:dyDescent="0.35">
      <c r="B531" s="40">
        <v>9</v>
      </c>
      <c r="C531" s="38" t="s">
        <v>26</v>
      </c>
      <c r="D531" s="25">
        <v>0</v>
      </c>
      <c r="E531" s="25">
        <v>0</v>
      </c>
      <c r="F531" s="47">
        <f t="shared" ref="F531:F550" si="26">+E531+D531</f>
        <v>0</v>
      </c>
      <c r="G531" s="74">
        <f t="shared" ref="G531:G550" si="27">+G530+F531</f>
        <v>32984.51</v>
      </c>
      <c r="H531" s="71"/>
      <c r="I531" s="42"/>
      <c r="J531" s="42"/>
    </row>
    <row r="532" spans="1:11" s="3" customFormat="1" ht="14.5" x14ac:dyDescent="0.35">
      <c r="B532" s="40">
        <v>10</v>
      </c>
      <c r="C532" s="38" t="s">
        <v>62</v>
      </c>
      <c r="D532" s="25">
        <v>660.5</v>
      </c>
      <c r="E532" s="25">
        <v>0</v>
      </c>
      <c r="F532" s="47">
        <f t="shared" si="26"/>
        <v>660.5</v>
      </c>
      <c r="G532" s="74">
        <f t="shared" si="27"/>
        <v>33645.01</v>
      </c>
      <c r="H532" s="71"/>
      <c r="I532" s="42"/>
      <c r="J532" s="42"/>
    </row>
    <row r="533" spans="1:11" s="3" customFormat="1" ht="14.5" x14ac:dyDescent="0.35">
      <c r="B533" s="40">
        <v>11</v>
      </c>
      <c r="C533" s="38" t="s">
        <v>63</v>
      </c>
      <c r="D533" s="25">
        <v>30369.51</v>
      </c>
      <c r="E533" s="25">
        <v>0</v>
      </c>
      <c r="F533" s="47">
        <f t="shared" si="26"/>
        <v>30369.51</v>
      </c>
      <c r="G533" s="74">
        <f t="shared" si="27"/>
        <v>64014.520000000004</v>
      </c>
      <c r="H533" s="71"/>
      <c r="I533" s="42"/>
      <c r="J533" s="42"/>
    </row>
    <row r="534" spans="1:11" s="3" customFormat="1" ht="14.5" x14ac:dyDescent="0.35">
      <c r="B534" s="40">
        <v>12</v>
      </c>
      <c r="C534" s="38" t="s">
        <v>78</v>
      </c>
      <c r="D534" s="25">
        <v>7265.01</v>
      </c>
      <c r="E534" s="25">
        <v>0</v>
      </c>
      <c r="F534" s="47">
        <f t="shared" si="26"/>
        <v>7265.01</v>
      </c>
      <c r="G534" s="74">
        <f t="shared" si="27"/>
        <v>71279.53</v>
      </c>
      <c r="H534" s="71"/>
      <c r="I534" s="42"/>
      <c r="J534" s="42"/>
    </row>
    <row r="535" spans="1:11" s="3" customFormat="1" ht="14.5" x14ac:dyDescent="0.35">
      <c r="B535" s="40">
        <v>13</v>
      </c>
      <c r="C535" s="38" t="s">
        <v>64</v>
      </c>
      <c r="D535" s="25">
        <v>17882.509999999998</v>
      </c>
      <c r="E535" s="25">
        <v>0</v>
      </c>
      <c r="F535" s="47">
        <f t="shared" si="26"/>
        <v>17882.509999999998</v>
      </c>
      <c r="G535" s="74">
        <f t="shared" si="27"/>
        <v>89162.04</v>
      </c>
      <c r="H535" s="71"/>
      <c r="I535" s="42"/>
      <c r="J535" s="42"/>
    </row>
    <row r="536" spans="1:11" s="3" customFormat="1" ht="15" customHeight="1" x14ac:dyDescent="0.35">
      <c r="B536" s="40">
        <v>14</v>
      </c>
      <c r="C536" s="58" t="s">
        <v>65</v>
      </c>
      <c r="D536" s="25">
        <v>11795.52</v>
      </c>
      <c r="E536" s="25">
        <v>0</v>
      </c>
      <c r="F536" s="47">
        <f t="shared" si="26"/>
        <v>11795.52</v>
      </c>
      <c r="G536" s="74">
        <f t="shared" si="27"/>
        <v>100957.56</v>
      </c>
      <c r="H536" s="71"/>
      <c r="I536" s="42"/>
      <c r="J536" s="42"/>
    </row>
    <row r="537" spans="1:11" s="3" customFormat="1" ht="14.5" x14ac:dyDescent="0.35">
      <c r="B537" s="40">
        <v>15</v>
      </c>
      <c r="C537" s="38" t="s">
        <v>66</v>
      </c>
      <c r="D537" s="25">
        <v>0</v>
      </c>
      <c r="E537" s="25">
        <v>0</v>
      </c>
      <c r="F537" s="47">
        <f t="shared" si="26"/>
        <v>0</v>
      </c>
      <c r="G537" s="74">
        <f t="shared" si="27"/>
        <v>100957.56</v>
      </c>
      <c r="H537" s="71"/>
      <c r="I537" s="42"/>
      <c r="J537" s="42"/>
    </row>
    <row r="538" spans="1:11" s="3" customFormat="1" ht="14.5" x14ac:dyDescent="0.35">
      <c r="B538" s="40">
        <v>16</v>
      </c>
      <c r="C538" s="38" t="s">
        <v>67</v>
      </c>
      <c r="D538" s="25">
        <v>0</v>
      </c>
      <c r="E538" s="25">
        <v>0</v>
      </c>
      <c r="F538" s="47">
        <f t="shared" si="26"/>
        <v>0</v>
      </c>
      <c r="G538" s="74">
        <f t="shared" si="27"/>
        <v>100957.56</v>
      </c>
      <c r="H538" s="71"/>
      <c r="I538" s="42"/>
      <c r="J538" s="42"/>
    </row>
    <row r="539" spans="1:11" s="3" customFormat="1" ht="14.5" x14ac:dyDescent="0.35">
      <c r="B539" s="40">
        <v>17</v>
      </c>
      <c r="C539" s="38" t="s">
        <v>68</v>
      </c>
      <c r="D539" s="25">
        <v>0</v>
      </c>
      <c r="E539" s="25">
        <v>0</v>
      </c>
      <c r="F539" s="47">
        <f t="shared" si="26"/>
        <v>0</v>
      </c>
      <c r="G539" s="74">
        <f t="shared" si="27"/>
        <v>100957.56</v>
      </c>
      <c r="H539" s="71"/>
      <c r="I539" s="42"/>
      <c r="J539" s="42"/>
    </row>
    <row r="540" spans="1:11" s="3" customFormat="1" ht="14.5" x14ac:dyDescent="0.35">
      <c r="B540" s="40">
        <v>18</v>
      </c>
      <c r="C540" s="38" t="s">
        <v>69</v>
      </c>
      <c r="D540" s="25">
        <v>0</v>
      </c>
      <c r="E540" s="25">
        <v>0</v>
      </c>
      <c r="F540" s="47">
        <f t="shared" si="26"/>
        <v>0</v>
      </c>
      <c r="G540" s="74">
        <f t="shared" si="27"/>
        <v>100957.56</v>
      </c>
      <c r="H540" s="71"/>
      <c r="I540" s="42"/>
      <c r="J540" s="42"/>
    </row>
    <row r="541" spans="1:11" s="3" customFormat="1" ht="14.5" x14ac:dyDescent="0.35">
      <c r="B541" s="40">
        <v>19</v>
      </c>
      <c r="C541" s="38" t="s">
        <v>70</v>
      </c>
      <c r="D541" s="25">
        <v>0</v>
      </c>
      <c r="E541" s="25">
        <v>0</v>
      </c>
      <c r="F541" s="47">
        <f t="shared" si="26"/>
        <v>0</v>
      </c>
      <c r="G541" s="74">
        <f t="shared" si="27"/>
        <v>100957.56</v>
      </c>
      <c r="H541" s="71"/>
      <c r="I541" s="42"/>
      <c r="J541" s="42"/>
    </row>
    <row r="542" spans="1:11" s="3" customFormat="1" ht="14.5" x14ac:dyDescent="0.35">
      <c r="B542" s="40">
        <v>20</v>
      </c>
      <c r="C542" s="38" t="s">
        <v>71</v>
      </c>
      <c r="D542" s="25">
        <v>0</v>
      </c>
      <c r="E542" s="25">
        <v>0</v>
      </c>
      <c r="F542" s="47">
        <f t="shared" si="26"/>
        <v>0</v>
      </c>
      <c r="G542" s="74">
        <f t="shared" si="27"/>
        <v>100957.56</v>
      </c>
      <c r="H542" s="71"/>
      <c r="I542" s="42"/>
      <c r="J542" s="42"/>
    </row>
    <row r="543" spans="1:11" s="3" customFormat="1" ht="14.5" x14ac:dyDescent="0.35">
      <c r="B543" s="40">
        <v>21</v>
      </c>
      <c r="C543" s="38" t="s">
        <v>72</v>
      </c>
      <c r="D543" s="25">
        <v>5113.5</v>
      </c>
      <c r="E543" s="25">
        <v>0</v>
      </c>
      <c r="F543" s="47">
        <f t="shared" si="26"/>
        <v>5113.5</v>
      </c>
      <c r="G543" s="74">
        <f t="shared" si="27"/>
        <v>106071.06</v>
      </c>
      <c r="H543" s="71"/>
      <c r="I543" s="42"/>
      <c r="J543" s="42"/>
    </row>
    <row r="544" spans="1:11" s="3" customFormat="1" ht="14.5" x14ac:dyDescent="0.35">
      <c r="B544" s="40">
        <v>22</v>
      </c>
      <c r="C544" s="38" t="s">
        <v>73</v>
      </c>
      <c r="D544" s="25">
        <v>0</v>
      </c>
      <c r="E544" s="25">
        <v>0</v>
      </c>
      <c r="F544" s="47">
        <f t="shared" si="26"/>
        <v>0</v>
      </c>
      <c r="G544" s="74">
        <f t="shared" si="27"/>
        <v>106071.06</v>
      </c>
      <c r="H544" s="71"/>
      <c r="I544" s="42"/>
      <c r="J544" s="42"/>
    </row>
    <row r="545" spans="1:10" s="3" customFormat="1" ht="14.5" x14ac:dyDescent="0.35">
      <c r="B545" s="40">
        <v>23</v>
      </c>
      <c r="C545" s="38" t="s">
        <v>74</v>
      </c>
      <c r="D545" s="25">
        <v>0</v>
      </c>
      <c r="E545" s="25">
        <v>0</v>
      </c>
      <c r="F545" s="47">
        <f t="shared" si="26"/>
        <v>0</v>
      </c>
      <c r="G545" s="74">
        <f t="shared" si="27"/>
        <v>106071.06</v>
      </c>
      <c r="H545" s="71"/>
      <c r="I545" s="42"/>
      <c r="J545" s="42"/>
    </row>
    <row r="546" spans="1:10" s="3" customFormat="1" ht="14.5" x14ac:dyDescent="0.35">
      <c r="B546" s="40">
        <v>24</v>
      </c>
      <c r="C546" s="38" t="s">
        <v>75</v>
      </c>
      <c r="D546" s="25">
        <v>0</v>
      </c>
      <c r="E546" s="25">
        <v>0</v>
      </c>
      <c r="F546" s="47">
        <f t="shared" si="26"/>
        <v>0</v>
      </c>
      <c r="G546" s="74">
        <f t="shared" si="27"/>
        <v>106071.06</v>
      </c>
      <c r="H546" s="71"/>
      <c r="I546" s="42"/>
      <c r="J546" s="42"/>
    </row>
    <row r="547" spans="1:10" s="3" customFormat="1" ht="14.5" x14ac:dyDescent="0.35">
      <c r="B547" s="40">
        <v>25</v>
      </c>
      <c r="C547" s="77" t="s">
        <v>76</v>
      </c>
      <c r="D547" s="25">
        <v>0</v>
      </c>
      <c r="E547" s="25">
        <v>0</v>
      </c>
      <c r="F547" s="47">
        <f t="shared" si="26"/>
        <v>0</v>
      </c>
      <c r="G547" s="74">
        <f t="shared" si="27"/>
        <v>106071.06</v>
      </c>
      <c r="H547" s="71"/>
      <c r="I547" s="42"/>
      <c r="J547" s="42"/>
    </row>
    <row r="548" spans="1:10" s="3" customFormat="1" ht="14.5" x14ac:dyDescent="0.35">
      <c r="B548" s="40">
        <v>26</v>
      </c>
      <c r="C548" s="77" t="s">
        <v>77</v>
      </c>
      <c r="D548" s="105">
        <v>0</v>
      </c>
      <c r="E548" s="106">
        <v>0</v>
      </c>
      <c r="F548" s="107">
        <f t="shared" si="26"/>
        <v>0</v>
      </c>
      <c r="G548" s="113">
        <f t="shared" si="27"/>
        <v>106071.06</v>
      </c>
      <c r="H548" s="71"/>
      <c r="I548" s="42"/>
      <c r="J548" s="42"/>
    </row>
    <row r="549" spans="1:10" s="3" customFormat="1" ht="14.5" x14ac:dyDescent="0.35">
      <c r="B549" s="40">
        <v>27</v>
      </c>
      <c r="C549" s="38" t="s">
        <v>81</v>
      </c>
      <c r="D549" s="20">
        <v>0</v>
      </c>
      <c r="E549" s="20">
        <v>0</v>
      </c>
      <c r="F549" s="43">
        <f t="shared" si="26"/>
        <v>0</v>
      </c>
      <c r="G549" s="94">
        <f t="shared" si="27"/>
        <v>106071.06</v>
      </c>
      <c r="H549" s="71"/>
      <c r="I549" s="42"/>
      <c r="J549" s="42"/>
    </row>
    <row r="550" spans="1:10" s="3" customFormat="1" ht="13.25" customHeight="1" x14ac:dyDescent="0.35">
      <c r="B550" s="40">
        <v>28</v>
      </c>
      <c r="C550" s="77" t="s">
        <v>87</v>
      </c>
      <c r="D550" s="25">
        <v>0</v>
      </c>
      <c r="E550" s="25">
        <v>0</v>
      </c>
      <c r="F550" s="47">
        <f t="shared" si="26"/>
        <v>0</v>
      </c>
      <c r="G550" s="76">
        <f t="shared" si="27"/>
        <v>106071.06</v>
      </c>
      <c r="H550" s="71"/>
      <c r="I550" s="42"/>
      <c r="J550" s="42"/>
    </row>
    <row r="551" spans="1:10" ht="14.5" x14ac:dyDescent="0.35">
      <c r="A551" s="3"/>
      <c r="B551" s="5" t="s">
        <v>52</v>
      </c>
      <c r="C551" s="78" t="s">
        <v>52</v>
      </c>
      <c r="D551" s="79" t="s">
        <v>52</v>
      </c>
      <c r="E551" s="79" t="s">
        <v>52</v>
      </c>
      <c r="F551" s="79" t="s">
        <v>52</v>
      </c>
      <c r="G551" s="79" t="s">
        <v>52</v>
      </c>
      <c r="H551" s="6" t="s">
        <v>52</v>
      </c>
      <c r="I551" s="3"/>
    </row>
    <row r="552" spans="1:10" ht="14.5" x14ac:dyDescent="0.35">
      <c r="A552" s="3"/>
      <c r="B552" s="8" t="s">
        <v>34</v>
      </c>
      <c r="C552" s="80"/>
      <c r="D552" s="79" t="s">
        <v>52</v>
      </c>
      <c r="E552" s="79" t="s">
        <v>52</v>
      </c>
      <c r="F552" s="79" t="s">
        <v>52</v>
      </c>
      <c r="G552" s="79" t="s">
        <v>52</v>
      </c>
      <c r="H552" s="6" t="s">
        <v>52</v>
      </c>
      <c r="I552" s="3"/>
    </row>
    <row r="553" spans="1:10" ht="14.5" x14ac:dyDescent="0.35">
      <c r="A553" s="3"/>
      <c r="B553" s="9" t="s">
        <v>35</v>
      </c>
      <c r="C553" s="5"/>
      <c r="D553" s="6"/>
      <c r="E553" s="6"/>
      <c r="F553" s="81"/>
      <c r="G553" s="81"/>
      <c r="H553" s="82"/>
      <c r="I553" s="3"/>
    </row>
    <row r="554" spans="1:10" ht="14.5" x14ac:dyDescent="0.35">
      <c r="A554" s="3"/>
      <c r="B554" s="9" t="s">
        <v>36</v>
      </c>
      <c r="C554" s="5"/>
      <c r="D554" s="6"/>
      <c r="E554" s="6"/>
      <c r="F554" s="81"/>
      <c r="G554" s="79" t="s">
        <v>52</v>
      </c>
      <c r="H554" s="6" t="s">
        <v>52</v>
      </c>
      <c r="I554" s="3"/>
    </row>
    <row r="555" spans="1:10" ht="14.5" x14ac:dyDescent="0.35">
      <c r="A555" s="3"/>
      <c r="B555" s="9" t="s">
        <v>37</v>
      </c>
      <c r="C555" s="5"/>
      <c r="D555" s="6"/>
      <c r="E555" s="6"/>
      <c r="F555" s="79" t="s">
        <v>52</v>
      </c>
      <c r="G555" s="79" t="s">
        <v>52</v>
      </c>
      <c r="H555" s="6" t="s">
        <v>52</v>
      </c>
      <c r="I555" s="3"/>
    </row>
    <row r="556" spans="1:10" ht="14.5" x14ac:dyDescent="0.35">
      <c r="A556" s="3"/>
      <c r="B556" s="10"/>
      <c r="C556" s="83"/>
      <c r="D556" s="85"/>
      <c r="E556" s="85"/>
      <c r="F556" s="85"/>
      <c r="G556" s="85"/>
      <c r="H556" s="42"/>
      <c r="I556" s="3"/>
    </row>
    <row r="557" spans="1:10" ht="14.5" x14ac:dyDescent="0.35">
      <c r="A557" s="3"/>
      <c r="B557" s="10"/>
      <c r="C557" s="83"/>
      <c r="D557" s="85"/>
      <c r="E557" s="85"/>
      <c r="F557" s="85"/>
      <c r="G557" s="85"/>
      <c r="H557" s="42"/>
      <c r="I557" s="3"/>
    </row>
    <row r="558" spans="1:10" ht="18.5" x14ac:dyDescent="0.45">
      <c r="A558" s="3"/>
      <c r="C558" s="83"/>
      <c r="D558" s="193" t="s">
        <v>40</v>
      </c>
      <c r="E558" s="193"/>
      <c r="F558" s="193"/>
      <c r="G558" s="193"/>
      <c r="H558" s="193"/>
      <c r="I558" s="3"/>
    </row>
    <row r="559" spans="1:10" ht="16" x14ac:dyDescent="0.4">
      <c r="A559" s="35"/>
      <c r="B559" s="26" t="s">
        <v>52</v>
      </c>
      <c r="C559" s="84" t="s">
        <v>52</v>
      </c>
      <c r="D559" s="194" t="s">
        <v>59</v>
      </c>
      <c r="E559" s="194"/>
      <c r="F559" s="194"/>
      <c r="G559" s="194"/>
      <c r="H559" s="194"/>
      <c r="I559" s="35"/>
    </row>
    <row r="560" spans="1:10" ht="15.9" customHeight="1" x14ac:dyDescent="0.4">
      <c r="A560" s="3"/>
      <c r="B560" s="128" t="s">
        <v>88</v>
      </c>
      <c r="C560" s="128"/>
      <c r="D560" s="128"/>
      <c r="E560" s="128"/>
      <c r="F560" s="128"/>
      <c r="G560" s="128"/>
      <c r="H560" s="128"/>
      <c r="I560" s="3"/>
    </row>
    <row r="561" spans="1:11" ht="14.5" x14ac:dyDescent="0.35">
      <c r="A561" s="3"/>
      <c r="B561" s="14"/>
      <c r="C561" s="15"/>
      <c r="D561" s="142" t="s">
        <v>6</v>
      </c>
      <c r="E561" s="142"/>
      <c r="F561" s="142"/>
      <c r="G561" s="142"/>
      <c r="H561" s="191" t="s">
        <v>52</v>
      </c>
      <c r="I561" s="3"/>
    </row>
    <row r="562" spans="1:11" ht="14.5" x14ac:dyDescent="0.35">
      <c r="A562" s="3"/>
      <c r="B562" s="12"/>
      <c r="C562" s="13"/>
      <c r="D562" s="145" t="s">
        <v>9</v>
      </c>
      <c r="E562" s="145"/>
      <c r="F562" s="145"/>
      <c r="G562" s="145"/>
      <c r="H562" s="191"/>
      <c r="I562" s="3"/>
    </row>
    <row r="563" spans="1:11" ht="14.5" x14ac:dyDescent="0.35">
      <c r="A563" s="3"/>
      <c r="B563" s="133" t="s">
        <v>10</v>
      </c>
      <c r="C563" s="135" t="s">
        <v>11</v>
      </c>
      <c r="D563" s="51" t="s">
        <v>12</v>
      </c>
      <c r="E563" s="51" t="s">
        <v>13</v>
      </c>
      <c r="F563" s="51" t="s">
        <v>14</v>
      </c>
      <c r="G563" s="66" t="s">
        <v>15</v>
      </c>
      <c r="H563" s="186" t="s">
        <v>52</v>
      </c>
      <c r="I563" s="3"/>
    </row>
    <row r="564" spans="1:11" ht="14.5" x14ac:dyDescent="0.35">
      <c r="A564" s="3"/>
      <c r="B564" s="133"/>
      <c r="C564" s="135"/>
      <c r="D564" s="154" t="s">
        <v>20</v>
      </c>
      <c r="E564" s="154"/>
      <c r="F564" s="154"/>
      <c r="G564" s="154"/>
      <c r="H564" s="186"/>
      <c r="I564" s="3"/>
    </row>
    <row r="565" spans="1:11" ht="14.5" x14ac:dyDescent="0.35">
      <c r="A565" s="3"/>
      <c r="B565" s="40">
        <v>4</v>
      </c>
      <c r="C565" s="67" t="s">
        <v>21</v>
      </c>
      <c r="D565" s="25">
        <v>0</v>
      </c>
      <c r="E565" s="25">
        <v>0</v>
      </c>
      <c r="F565" s="25">
        <v>0</v>
      </c>
      <c r="G565" s="25">
        <v>0</v>
      </c>
      <c r="H565" s="71" t="s">
        <v>52</v>
      </c>
      <c r="I565" s="3"/>
    </row>
    <row r="566" spans="1:11" ht="14.5" x14ac:dyDescent="0.35">
      <c r="A566" s="3"/>
      <c r="B566" s="72">
        <v>5</v>
      </c>
      <c r="C566" s="73" t="s">
        <v>22</v>
      </c>
      <c r="D566" s="68">
        <v>79374.570000000007</v>
      </c>
      <c r="E566" s="25">
        <v>0</v>
      </c>
      <c r="F566" s="69">
        <f>+E566+D566</f>
        <v>79374.570000000007</v>
      </c>
      <c r="G566" s="70">
        <f>+F566</f>
        <v>79374.570000000007</v>
      </c>
      <c r="H566" s="71" t="s">
        <v>52</v>
      </c>
      <c r="I566" s="3"/>
    </row>
    <row r="567" spans="1:11" ht="14.5" x14ac:dyDescent="0.35">
      <c r="A567" s="3"/>
      <c r="B567" s="72">
        <v>6</v>
      </c>
      <c r="C567" s="73" t="s">
        <v>23</v>
      </c>
      <c r="D567" s="68">
        <v>40542.06</v>
      </c>
      <c r="E567" s="25">
        <v>0</v>
      </c>
      <c r="F567" s="69">
        <f>+E567+D567</f>
        <v>40542.06</v>
      </c>
      <c r="G567" s="70">
        <f>+G566+F567</f>
        <v>119916.63</v>
      </c>
      <c r="H567" s="71" t="s">
        <v>52</v>
      </c>
      <c r="I567" s="3"/>
    </row>
    <row r="568" spans="1:11" ht="14.5" x14ac:dyDescent="0.35">
      <c r="A568" s="3"/>
      <c r="B568" s="72">
        <v>7</v>
      </c>
      <c r="C568" s="73" t="s">
        <v>24</v>
      </c>
      <c r="D568" s="68">
        <v>47346.080000000002</v>
      </c>
      <c r="E568" s="25">
        <v>0</v>
      </c>
      <c r="F568" s="69">
        <f>+E568+D568</f>
        <v>47346.080000000002</v>
      </c>
      <c r="G568" s="70">
        <f>+G567+F568</f>
        <v>167262.71000000002</v>
      </c>
      <c r="H568" s="71" t="s">
        <v>52</v>
      </c>
      <c r="I568" s="3"/>
    </row>
    <row r="569" spans="1:11" ht="14.5" x14ac:dyDescent="0.35">
      <c r="A569" s="3"/>
      <c r="B569" s="40">
        <v>8</v>
      </c>
      <c r="C569" s="38" t="s">
        <v>25</v>
      </c>
      <c r="D569" s="25">
        <f>14452.51</f>
        <v>14452.51</v>
      </c>
      <c r="E569" s="25">
        <v>0</v>
      </c>
      <c r="F569" s="69">
        <f>+E569+D569</f>
        <v>14452.51</v>
      </c>
      <c r="G569" s="70">
        <f>+G568+F569</f>
        <v>181715.22000000003</v>
      </c>
      <c r="H569" s="71"/>
      <c r="I569" s="10"/>
      <c r="J569" s="3"/>
      <c r="K569" s="3"/>
    </row>
    <row r="570" spans="1:11" s="3" customFormat="1" ht="14.5" x14ac:dyDescent="0.35">
      <c r="B570" s="40">
        <v>9</v>
      </c>
      <c r="C570" s="38" t="s">
        <v>26</v>
      </c>
      <c r="D570" s="25">
        <v>120349.63</v>
      </c>
      <c r="E570" s="25">
        <v>0</v>
      </c>
      <c r="F570" s="47">
        <f t="shared" ref="F570:F589" si="28">+E570+D570</f>
        <v>120349.63</v>
      </c>
      <c r="G570" s="74">
        <f t="shared" ref="G570:G589" si="29">+G569+F570</f>
        <v>302064.85000000003</v>
      </c>
      <c r="H570" s="71"/>
      <c r="I570" s="42"/>
      <c r="J570" s="42"/>
    </row>
    <row r="571" spans="1:11" s="3" customFormat="1" ht="14.5" x14ac:dyDescent="0.35">
      <c r="B571" s="40">
        <v>10</v>
      </c>
      <c r="C571" s="38" t="s">
        <v>62</v>
      </c>
      <c r="D571" s="25">
        <v>25050.54</v>
      </c>
      <c r="E571" s="25">
        <v>0</v>
      </c>
      <c r="F571" s="47">
        <f t="shared" si="28"/>
        <v>25050.54</v>
      </c>
      <c r="G571" s="74">
        <f t="shared" si="29"/>
        <v>327115.39</v>
      </c>
      <c r="H571" s="71"/>
      <c r="I571" s="42"/>
      <c r="J571" s="42"/>
    </row>
    <row r="572" spans="1:11" s="3" customFormat="1" ht="14.5" x14ac:dyDescent="0.35">
      <c r="B572" s="40">
        <v>11</v>
      </c>
      <c r="C572" s="38" t="s">
        <v>63</v>
      </c>
      <c r="D572" s="25">
        <v>63316.56</v>
      </c>
      <c r="E572" s="25">
        <v>0</v>
      </c>
      <c r="F572" s="47">
        <f t="shared" si="28"/>
        <v>63316.56</v>
      </c>
      <c r="G572" s="74">
        <f t="shared" si="29"/>
        <v>390431.95</v>
      </c>
      <c r="H572" s="71"/>
      <c r="I572" s="42"/>
      <c r="J572" s="42"/>
    </row>
    <row r="573" spans="1:11" s="3" customFormat="1" ht="14.5" x14ac:dyDescent="0.35">
      <c r="B573" s="40">
        <v>12</v>
      </c>
      <c r="C573" s="38" t="s">
        <v>78</v>
      </c>
      <c r="D573" s="25">
        <v>162467.62</v>
      </c>
      <c r="E573" s="25">
        <v>0</v>
      </c>
      <c r="F573" s="47">
        <f t="shared" si="28"/>
        <v>162467.62</v>
      </c>
      <c r="G573" s="74">
        <f t="shared" si="29"/>
        <v>552899.57000000007</v>
      </c>
      <c r="H573" s="71"/>
      <c r="I573" s="42"/>
      <c r="J573" s="42"/>
    </row>
    <row r="574" spans="1:11" s="3" customFormat="1" ht="14.5" x14ac:dyDescent="0.35">
      <c r="B574" s="40">
        <v>13</v>
      </c>
      <c r="C574" s="38" t="s">
        <v>64</v>
      </c>
      <c r="D574" s="25">
        <v>114003.62</v>
      </c>
      <c r="E574" s="25">
        <v>0</v>
      </c>
      <c r="F574" s="47">
        <f t="shared" si="28"/>
        <v>114003.62</v>
      </c>
      <c r="G574" s="74">
        <f t="shared" si="29"/>
        <v>666903.19000000006</v>
      </c>
      <c r="H574" s="71"/>
      <c r="I574" s="42"/>
      <c r="J574" s="42"/>
    </row>
    <row r="575" spans="1:11" s="3" customFormat="1" ht="15.65" customHeight="1" x14ac:dyDescent="0.35">
      <c r="B575" s="40">
        <v>14</v>
      </c>
      <c r="C575" s="58" t="s">
        <v>65</v>
      </c>
      <c r="D575" s="25">
        <v>21540.05</v>
      </c>
      <c r="E575" s="25">
        <v>0</v>
      </c>
      <c r="F575" s="47">
        <f t="shared" si="28"/>
        <v>21540.05</v>
      </c>
      <c r="G575" s="74">
        <f t="shared" si="29"/>
        <v>688443.24000000011</v>
      </c>
      <c r="H575" s="71"/>
      <c r="I575" s="42"/>
      <c r="J575" s="42"/>
    </row>
    <row r="576" spans="1:11" s="3" customFormat="1" ht="14.5" x14ac:dyDescent="0.35">
      <c r="B576" s="40">
        <v>15</v>
      </c>
      <c r="C576" s="38" t="s">
        <v>66</v>
      </c>
      <c r="D576" s="25">
        <v>17162</v>
      </c>
      <c r="E576" s="25">
        <v>0</v>
      </c>
      <c r="F576" s="47">
        <f t="shared" si="28"/>
        <v>17162</v>
      </c>
      <c r="G576" s="74">
        <f t="shared" si="29"/>
        <v>705605.24000000011</v>
      </c>
      <c r="H576" s="71"/>
      <c r="I576" s="42"/>
      <c r="J576" s="42"/>
    </row>
    <row r="577" spans="1:10" s="3" customFormat="1" ht="14.5" x14ac:dyDescent="0.35">
      <c r="B577" s="40">
        <v>16</v>
      </c>
      <c r="C577" s="38" t="s">
        <v>67</v>
      </c>
      <c r="D577" s="25">
        <v>68129.52</v>
      </c>
      <c r="E577" s="25">
        <v>0</v>
      </c>
      <c r="F577" s="47">
        <f t="shared" si="28"/>
        <v>68129.52</v>
      </c>
      <c r="G577" s="74">
        <f t="shared" si="29"/>
        <v>773734.76000000013</v>
      </c>
      <c r="H577" s="71"/>
      <c r="I577" s="42"/>
      <c r="J577" s="42"/>
    </row>
    <row r="578" spans="1:10" s="3" customFormat="1" ht="14.5" x14ac:dyDescent="0.35">
      <c r="B578" s="40">
        <v>17</v>
      </c>
      <c r="C578" s="38" t="s">
        <v>68</v>
      </c>
      <c r="D578" s="25">
        <v>29959.02</v>
      </c>
      <c r="E578" s="25">
        <v>0</v>
      </c>
      <c r="F578" s="47">
        <f t="shared" si="28"/>
        <v>29959.02</v>
      </c>
      <c r="G578" s="74">
        <f t="shared" si="29"/>
        <v>803693.78000000014</v>
      </c>
      <c r="H578" s="71"/>
      <c r="I578" s="42"/>
      <c r="J578" s="42"/>
    </row>
    <row r="579" spans="1:10" s="3" customFormat="1" ht="14.5" x14ac:dyDescent="0.35">
      <c r="B579" s="40">
        <v>18</v>
      </c>
      <c r="C579" s="38" t="s">
        <v>69</v>
      </c>
      <c r="D579" s="25">
        <v>15322.01</v>
      </c>
      <c r="E579" s="25">
        <v>0</v>
      </c>
      <c r="F579" s="47">
        <f t="shared" si="28"/>
        <v>15322.01</v>
      </c>
      <c r="G579" s="74">
        <f t="shared" si="29"/>
        <v>819015.79000000015</v>
      </c>
      <c r="H579" s="71"/>
      <c r="I579" s="42"/>
      <c r="J579" s="42"/>
    </row>
    <row r="580" spans="1:10" s="3" customFormat="1" ht="14.5" x14ac:dyDescent="0.35">
      <c r="B580" s="40">
        <v>19</v>
      </c>
      <c r="C580" s="38" t="s">
        <v>70</v>
      </c>
      <c r="D580" s="25">
        <v>0</v>
      </c>
      <c r="E580" s="25">
        <v>0</v>
      </c>
      <c r="F580" s="47">
        <f t="shared" si="28"/>
        <v>0</v>
      </c>
      <c r="G580" s="74">
        <f t="shared" si="29"/>
        <v>819015.79000000015</v>
      </c>
      <c r="H580" s="71"/>
      <c r="I580" s="42"/>
      <c r="J580" s="42"/>
    </row>
    <row r="581" spans="1:10" s="3" customFormat="1" ht="14.5" x14ac:dyDescent="0.35">
      <c r="B581" s="40">
        <v>20</v>
      </c>
      <c r="C581" s="38" t="s">
        <v>71</v>
      </c>
      <c r="D581" s="25">
        <v>0</v>
      </c>
      <c r="E581" s="25">
        <v>0</v>
      </c>
      <c r="F581" s="47">
        <f t="shared" si="28"/>
        <v>0</v>
      </c>
      <c r="G581" s="74">
        <f t="shared" si="29"/>
        <v>819015.79000000015</v>
      </c>
      <c r="H581" s="71"/>
      <c r="I581" s="42"/>
      <c r="J581" s="42"/>
    </row>
    <row r="582" spans="1:10" s="3" customFormat="1" ht="14.5" x14ac:dyDescent="0.35">
      <c r="B582" s="40">
        <v>21</v>
      </c>
      <c r="C582" s="38" t="s">
        <v>72</v>
      </c>
      <c r="D582" s="25">
        <v>0</v>
      </c>
      <c r="E582" s="25">
        <v>0</v>
      </c>
      <c r="F582" s="47">
        <f t="shared" si="28"/>
        <v>0</v>
      </c>
      <c r="G582" s="74">
        <f t="shared" si="29"/>
        <v>819015.79000000015</v>
      </c>
      <c r="H582" s="71"/>
      <c r="I582" s="42"/>
      <c r="J582" s="42"/>
    </row>
    <row r="583" spans="1:10" s="3" customFormat="1" ht="14.5" x14ac:dyDescent="0.35">
      <c r="B583" s="40">
        <v>22</v>
      </c>
      <c r="C583" s="38" t="s">
        <v>73</v>
      </c>
      <c r="D583" s="25">
        <v>0</v>
      </c>
      <c r="E583" s="25">
        <v>0</v>
      </c>
      <c r="F583" s="47">
        <f t="shared" si="28"/>
        <v>0</v>
      </c>
      <c r="G583" s="74">
        <f t="shared" si="29"/>
        <v>819015.79000000015</v>
      </c>
      <c r="H583" s="71"/>
      <c r="I583" s="42"/>
      <c r="J583" s="42"/>
    </row>
    <row r="584" spans="1:10" s="3" customFormat="1" ht="14.5" x14ac:dyDescent="0.35">
      <c r="B584" s="40">
        <v>23</v>
      </c>
      <c r="C584" s="38" t="s">
        <v>74</v>
      </c>
      <c r="D584" s="25">
        <v>0</v>
      </c>
      <c r="E584" s="25">
        <v>0</v>
      </c>
      <c r="F584" s="47">
        <f t="shared" si="28"/>
        <v>0</v>
      </c>
      <c r="G584" s="74">
        <f t="shared" si="29"/>
        <v>819015.79000000015</v>
      </c>
      <c r="H584" s="71"/>
      <c r="I584" s="42"/>
      <c r="J584" s="42"/>
    </row>
    <row r="585" spans="1:10" s="3" customFormat="1" ht="14.5" x14ac:dyDescent="0.35">
      <c r="B585" s="40">
        <v>24</v>
      </c>
      <c r="C585" s="38" t="s">
        <v>75</v>
      </c>
      <c r="D585" s="25">
        <v>0</v>
      </c>
      <c r="E585" s="25">
        <v>0</v>
      </c>
      <c r="F585" s="47">
        <f t="shared" si="28"/>
        <v>0</v>
      </c>
      <c r="G585" s="74">
        <f t="shared" si="29"/>
        <v>819015.79000000015</v>
      </c>
      <c r="H585" s="71"/>
      <c r="I585" s="42"/>
      <c r="J585" s="42"/>
    </row>
    <row r="586" spans="1:10" s="3" customFormat="1" ht="14.5" x14ac:dyDescent="0.35">
      <c r="B586" s="40">
        <v>25</v>
      </c>
      <c r="C586" s="77" t="s">
        <v>76</v>
      </c>
      <c r="D586" s="25">
        <v>0</v>
      </c>
      <c r="E586" s="25">
        <v>0</v>
      </c>
      <c r="F586" s="47">
        <f t="shared" si="28"/>
        <v>0</v>
      </c>
      <c r="G586" s="74">
        <f t="shared" si="29"/>
        <v>819015.79000000015</v>
      </c>
      <c r="H586" s="71"/>
      <c r="I586" s="42"/>
      <c r="J586" s="42"/>
    </row>
    <row r="587" spans="1:10" s="3" customFormat="1" ht="14.5" x14ac:dyDescent="0.35">
      <c r="B587" s="40">
        <v>26</v>
      </c>
      <c r="C587" s="77" t="s">
        <v>77</v>
      </c>
      <c r="D587" s="105">
        <v>0</v>
      </c>
      <c r="E587" s="106">
        <v>0</v>
      </c>
      <c r="F587" s="107">
        <f t="shared" si="28"/>
        <v>0</v>
      </c>
      <c r="G587" s="113">
        <f t="shared" si="29"/>
        <v>819015.79000000015</v>
      </c>
      <c r="H587" s="71"/>
      <c r="I587" s="42"/>
      <c r="J587" s="42"/>
    </row>
    <row r="588" spans="1:10" s="3" customFormat="1" ht="14.5" x14ac:dyDescent="0.35">
      <c r="B588" s="40">
        <v>27</v>
      </c>
      <c r="C588" s="38" t="s">
        <v>81</v>
      </c>
      <c r="D588" s="20">
        <v>0</v>
      </c>
      <c r="E588" s="20">
        <v>0</v>
      </c>
      <c r="F588" s="43">
        <f t="shared" si="28"/>
        <v>0</v>
      </c>
      <c r="G588" s="94">
        <f t="shared" si="29"/>
        <v>819015.79000000015</v>
      </c>
      <c r="H588" s="71"/>
      <c r="I588" s="42"/>
      <c r="J588" s="42"/>
    </row>
    <row r="589" spans="1:10" s="3" customFormat="1" ht="13.25" customHeight="1" x14ac:dyDescent="0.35">
      <c r="B589" s="40">
        <v>28</v>
      </c>
      <c r="C589" s="77" t="s">
        <v>87</v>
      </c>
      <c r="D589" s="25">
        <v>0</v>
      </c>
      <c r="E589" s="25">
        <v>0</v>
      </c>
      <c r="F589" s="47">
        <f t="shared" si="28"/>
        <v>0</v>
      </c>
      <c r="G589" s="76">
        <f t="shared" si="29"/>
        <v>819015.79000000015</v>
      </c>
      <c r="H589" s="71"/>
      <c r="I589" s="42"/>
      <c r="J589" s="42"/>
    </row>
    <row r="590" spans="1:10" ht="14.5" x14ac:dyDescent="0.35">
      <c r="A590" s="3"/>
      <c r="B590" s="5" t="s">
        <v>52</v>
      </c>
      <c r="C590" s="78" t="s">
        <v>52</v>
      </c>
      <c r="D590" s="79" t="s">
        <v>52</v>
      </c>
      <c r="E590" s="79" t="s">
        <v>52</v>
      </c>
      <c r="F590" s="79" t="s">
        <v>52</v>
      </c>
      <c r="G590" s="79" t="s">
        <v>52</v>
      </c>
      <c r="H590" s="6" t="s">
        <v>52</v>
      </c>
      <c r="I590" s="3"/>
    </row>
    <row r="591" spans="1:10" ht="14.5" x14ac:dyDescent="0.35">
      <c r="A591" s="3"/>
      <c r="B591" s="8" t="s">
        <v>34</v>
      </c>
      <c r="C591" s="80"/>
      <c r="D591" s="79" t="s">
        <v>52</v>
      </c>
      <c r="E591" s="79" t="s">
        <v>52</v>
      </c>
      <c r="F591" s="79" t="s">
        <v>52</v>
      </c>
      <c r="G591" s="79" t="s">
        <v>52</v>
      </c>
      <c r="H591" s="6" t="s">
        <v>52</v>
      </c>
      <c r="I591" s="3"/>
    </row>
    <row r="592" spans="1:10" ht="14.5" x14ac:dyDescent="0.35">
      <c r="A592" s="3"/>
      <c r="B592" s="9" t="s">
        <v>35</v>
      </c>
      <c r="C592" s="5"/>
      <c r="D592" s="6"/>
      <c r="E592" s="6"/>
      <c r="F592" s="81"/>
      <c r="G592" s="81"/>
      <c r="H592" s="82"/>
      <c r="I592" s="3"/>
    </row>
    <row r="593" spans="1:11" ht="14.5" x14ac:dyDescent="0.35">
      <c r="A593" s="3"/>
      <c r="B593" s="9" t="s">
        <v>36</v>
      </c>
      <c r="C593" s="5"/>
      <c r="D593" s="6"/>
      <c r="E593" s="6"/>
      <c r="F593" s="81"/>
      <c r="G593" s="79" t="s">
        <v>52</v>
      </c>
      <c r="H593" s="6" t="s">
        <v>52</v>
      </c>
      <c r="I593" s="3"/>
    </row>
    <row r="594" spans="1:11" ht="14.5" x14ac:dyDescent="0.35">
      <c r="A594" s="3"/>
      <c r="B594" s="9" t="s">
        <v>37</v>
      </c>
      <c r="C594" s="5"/>
      <c r="D594" s="6"/>
      <c r="E594" s="6"/>
      <c r="F594" s="79" t="s">
        <v>52</v>
      </c>
      <c r="G594" s="79" t="s">
        <v>52</v>
      </c>
      <c r="H594" s="6" t="s">
        <v>52</v>
      </c>
      <c r="I594" s="3"/>
    </row>
    <row r="595" spans="1:11" ht="14.5" x14ac:dyDescent="0.35">
      <c r="A595" s="3"/>
      <c r="B595" s="3"/>
      <c r="C595" s="63"/>
      <c r="D595" s="64"/>
      <c r="E595" s="64"/>
      <c r="F595" s="64"/>
      <c r="G595" s="64"/>
      <c r="H595" s="39"/>
      <c r="I595" s="3"/>
    </row>
    <row r="596" spans="1:11" ht="14.5" x14ac:dyDescent="0.35">
      <c r="A596" s="3"/>
      <c r="B596" s="3"/>
      <c r="C596" s="63"/>
      <c r="D596" s="64"/>
      <c r="E596" s="64"/>
      <c r="F596" s="64"/>
      <c r="G596" s="64"/>
      <c r="H596" s="39"/>
      <c r="I596" s="3"/>
    </row>
    <row r="597" spans="1:11" ht="18.5" x14ac:dyDescent="0.45">
      <c r="A597" s="3"/>
      <c r="C597" s="83"/>
      <c r="D597" s="188" t="s">
        <v>41</v>
      </c>
      <c r="E597" s="188"/>
      <c r="F597" s="188"/>
      <c r="G597" s="188"/>
      <c r="H597" s="188"/>
      <c r="I597" s="3"/>
    </row>
    <row r="598" spans="1:11" ht="16" x14ac:dyDescent="0.4">
      <c r="A598" s="35"/>
      <c r="B598" s="26" t="s">
        <v>52</v>
      </c>
      <c r="C598" s="84" t="s">
        <v>52</v>
      </c>
      <c r="D598" s="189" t="s">
        <v>59</v>
      </c>
      <c r="E598" s="189"/>
      <c r="F598" s="189"/>
      <c r="G598" s="189"/>
      <c r="H598" s="189"/>
      <c r="I598" s="35"/>
    </row>
    <row r="599" spans="1:11" ht="15.9" customHeight="1" x14ac:dyDescent="0.4">
      <c r="A599" s="3"/>
      <c r="B599" s="128" t="s">
        <v>88</v>
      </c>
      <c r="C599" s="128"/>
      <c r="D599" s="128"/>
      <c r="E599" s="128"/>
      <c r="F599" s="128"/>
      <c r="G599" s="128"/>
      <c r="H599" s="128"/>
      <c r="I599" s="3"/>
    </row>
    <row r="600" spans="1:11" ht="14.5" x14ac:dyDescent="0.35">
      <c r="A600" s="3"/>
      <c r="B600" s="14"/>
      <c r="C600" s="15"/>
      <c r="D600" s="142" t="s">
        <v>6</v>
      </c>
      <c r="E600" s="142"/>
      <c r="F600" s="142"/>
      <c r="G600" s="142"/>
      <c r="H600" s="191" t="s">
        <v>52</v>
      </c>
      <c r="I600" s="3"/>
    </row>
    <row r="601" spans="1:11" ht="14.5" x14ac:dyDescent="0.35">
      <c r="A601" s="3"/>
      <c r="B601" s="12"/>
      <c r="C601" s="13"/>
      <c r="D601" s="145" t="s">
        <v>9</v>
      </c>
      <c r="E601" s="145"/>
      <c r="F601" s="145"/>
      <c r="G601" s="145"/>
      <c r="H601" s="191"/>
      <c r="I601" s="3"/>
    </row>
    <row r="602" spans="1:11" ht="14.5" x14ac:dyDescent="0.35">
      <c r="A602" s="3"/>
      <c r="B602" s="133" t="s">
        <v>10</v>
      </c>
      <c r="C602" s="135" t="s">
        <v>11</v>
      </c>
      <c r="D602" s="51" t="s">
        <v>12</v>
      </c>
      <c r="E602" s="51" t="s">
        <v>13</v>
      </c>
      <c r="F602" s="51" t="s">
        <v>14</v>
      </c>
      <c r="G602" s="66" t="s">
        <v>15</v>
      </c>
      <c r="H602" s="186" t="s">
        <v>52</v>
      </c>
      <c r="I602" s="3"/>
    </row>
    <row r="603" spans="1:11" ht="14.5" x14ac:dyDescent="0.35">
      <c r="A603" s="3"/>
      <c r="B603" s="133"/>
      <c r="C603" s="135"/>
      <c r="D603" s="154" t="s">
        <v>20</v>
      </c>
      <c r="E603" s="154"/>
      <c r="F603" s="154"/>
      <c r="G603" s="154"/>
      <c r="H603" s="186"/>
      <c r="I603" s="3"/>
    </row>
    <row r="604" spans="1:11" ht="14.5" x14ac:dyDescent="0.35">
      <c r="A604" s="3"/>
      <c r="B604" s="40">
        <v>4</v>
      </c>
      <c r="C604" s="67" t="s">
        <v>21</v>
      </c>
      <c r="D604" s="68">
        <v>33002</v>
      </c>
      <c r="E604" s="25">
        <v>0</v>
      </c>
      <c r="F604" s="69">
        <f>+E604+D604</f>
        <v>33002</v>
      </c>
      <c r="G604" s="70">
        <f>+F604</f>
        <v>33002</v>
      </c>
      <c r="H604" s="71" t="s">
        <v>52</v>
      </c>
      <c r="I604" s="3"/>
    </row>
    <row r="605" spans="1:11" ht="14.5" x14ac:dyDescent="0.35">
      <c r="A605" s="3"/>
      <c r="B605" s="72">
        <v>5</v>
      </c>
      <c r="C605" s="73" t="s">
        <v>22</v>
      </c>
      <c r="D605" s="68">
        <v>50815.1</v>
      </c>
      <c r="E605" s="25">
        <v>0</v>
      </c>
      <c r="F605" s="69">
        <f>+E605+D605</f>
        <v>50815.1</v>
      </c>
      <c r="G605" s="70">
        <f>+G604+F605</f>
        <v>83817.100000000006</v>
      </c>
      <c r="H605" s="71" t="s">
        <v>52</v>
      </c>
      <c r="I605" s="3"/>
    </row>
    <row r="606" spans="1:11" ht="14.5" x14ac:dyDescent="0.35">
      <c r="A606" s="3"/>
      <c r="B606" s="72">
        <v>6</v>
      </c>
      <c r="C606" s="73" t="s">
        <v>23</v>
      </c>
      <c r="D606" s="68">
        <v>25972.55</v>
      </c>
      <c r="E606" s="25">
        <v>0</v>
      </c>
      <c r="F606" s="69">
        <f>+E606+D606</f>
        <v>25972.55</v>
      </c>
      <c r="G606" s="70">
        <f>+G605+F606</f>
        <v>109789.65000000001</v>
      </c>
      <c r="H606" s="71" t="s">
        <v>52</v>
      </c>
      <c r="I606" s="3"/>
    </row>
    <row r="607" spans="1:11" ht="14.5" x14ac:dyDescent="0.35">
      <c r="A607" s="3"/>
      <c r="B607" s="72">
        <v>7</v>
      </c>
      <c r="C607" s="73" t="s">
        <v>24</v>
      </c>
      <c r="D607" s="68">
        <v>36148.54</v>
      </c>
      <c r="E607" s="25">
        <v>0</v>
      </c>
      <c r="F607" s="69">
        <f>+E607+D607</f>
        <v>36148.54</v>
      </c>
      <c r="G607" s="70">
        <f>+G606+F607</f>
        <v>145938.19</v>
      </c>
      <c r="H607" s="71" t="s">
        <v>52</v>
      </c>
      <c r="I607" s="3"/>
    </row>
    <row r="608" spans="1:11" ht="14.5" x14ac:dyDescent="0.35">
      <c r="A608" s="3"/>
      <c r="B608" s="40">
        <v>8</v>
      </c>
      <c r="C608" s="38" t="s">
        <v>25</v>
      </c>
      <c r="D608" s="25">
        <v>100991.16</v>
      </c>
      <c r="E608" s="25">
        <v>0</v>
      </c>
      <c r="F608" s="69">
        <f>+E608+D608</f>
        <v>100991.16</v>
      </c>
      <c r="G608" s="70">
        <f>+G607+F608</f>
        <v>246929.35</v>
      </c>
      <c r="H608" s="71"/>
      <c r="I608" s="10"/>
      <c r="J608" s="3"/>
      <c r="K608" s="3"/>
    </row>
    <row r="609" spans="2:13" s="3" customFormat="1" ht="14.5" x14ac:dyDescent="0.35">
      <c r="B609" s="40">
        <v>9</v>
      </c>
      <c r="C609" s="38" t="s">
        <v>26</v>
      </c>
      <c r="D609" s="25">
        <v>35881.56</v>
      </c>
      <c r="E609" s="25">
        <v>0</v>
      </c>
      <c r="F609" s="47">
        <f t="shared" ref="F609:F628" si="30">+E609+D609</f>
        <v>35881.56</v>
      </c>
      <c r="G609" s="74">
        <f t="shared" ref="G609:G628" si="31">+G608+F609</f>
        <v>282810.91000000003</v>
      </c>
      <c r="H609" s="71"/>
      <c r="I609" s="42"/>
      <c r="J609" s="42"/>
    </row>
    <row r="610" spans="2:13" s="3" customFormat="1" ht="14.5" x14ac:dyDescent="0.35">
      <c r="B610" s="40">
        <v>10</v>
      </c>
      <c r="C610" s="90" t="s">
        <v>62</v>
      </c>
      <c r="D610" s="91">
        <v>21008.06</v>
      </c>
      <c r="E610" s="91">
        <v>0</v>
      </c>
      <c r="F610" s="92">
        <f t="shared" si="30"/>
        <v>21008.06</v>
      </c>
      <c r="G610" s="93">
        <f>+G609+F610</f>
        <v>303818.97000000003</v>
      </c>
      <c r="H610" s="71"/>
      <c r="I610" s="42"/>
      <c r="J610" s="42"/>
    </row>
    <row r="611" spans="2:13" x14ac:dyDescent="0.3">
      <c r="B611" s="40">
        <v>11</v>
      </c>
      <c r="C611" s="67" t="s">
        <v>63</v>
      </c>
      <c r="D611" s="25">
        <v>49813</v>
      </c>
      <c r="E611" s="25">
        <v>0</v>
      </c>
      <c r="F611" s="47">
        <f t="shared" si="30"/>
        <v>49813</v>
      </c>
      <c r="G611" s="74">
        <f t="shared" ref="G611" si="32">+G610+F611</f>
        <v>353631.97000000003</v>
      </c>
      <c r="I611" s="83"/>
      <c r="J611" s="85"/>
      <c r="K611" s="85"/>
      <c r="L611" s="88"/>
      <c r="M611" s="85"/>
    </row>
    <row r="612" spans="2:13" s="3" customFormat="1" ht="14.5" x14ac:dyDescent="0.35">
      <c r="B612" s="72">
        <v>12</v>
      </c>
      <c r="C612" s="38" t="s">
        <v>78</v>
      </c>
      <c r="D612" s="20">
        <v>32327.05</v>
      </c>
      <c r="E612" s="20">
        <v>0</v>
      </c>
      <c r="F612" s="43">
        <f t="shared" si="30"/>
        <v>32327.05</v>
      </c>
      <c r="G612" s="94">
        <f>+G611+F612</f>
        <v>385959.02</v>
      </c>
      <c r="H612" s="71"/>
      <c r="I612" s="42"/>
      <c r="J612" s="42"/>
    </row>
    <row r="613" spans="2:13" s="3" customFormat="1" ht="14.5" x14ac:dyDescent="0.35">
      <c r="B613" s="40">
        <v>13</v>
      </c>
      <c r="C613" s="38" t="s">
        <v>64</v>
      </c>
      <c r="D613" s="25">
        <v>19436.52</v>
      </c>
      <c r="E613" s="25">
        <v>0</v>
      </c>
      <c r="F613" s="47">
        <f t="shared" si="30"/>
        <v>19436.52</v>
      </c>
      <c r="G613" s="74">
        <f t="shared" si="31"/>
        <v>405395.54000000004</v>
      </c>
      <c r="H613" s="71"/>
      <c r="I613" s="42"/>
      <c r="J613" s="42"/>
    </row>
    <row r="614" spans="2:13" s="3" customFormat="1" ht="18" customHeight="1" x14ac:dyDescent="0.35">
      <c r="B614" s="40">
        <v>14</v>
      </c>
      <c r="C614" s="58" t="s">
        <v>65</v>
      </c>
      <c r="D614" s="25">
        <v>51537.03</v>
      </c>
      <c r="E614" s="25">
        <v>0</v>
      </c>
      <c r="F614" s="47">
        <f t="shared" si="30"/>
        <v>51537.03</v>
      </c>
      <c r="G614" s="74">
        <f t="shared" si="31"/>
        <v>456932.57000000007</v>
      </c>
      <c r="H614" s="71"/>
      <c r="I614" s="42"/>
      <c r="J614" s="42"/>
    </row>
    <row r="615" spans="2:13" s="3" customFormat="1" ht="14.5" x14ac:dyDescent="0.35">
      <c r="B615" s="40">
        <v>15</v>
      </c>
      <c r="C615" s="38" t="s">
        <v>66</v>
      </c>
      <c r="D615" s="25">
        <v>24077</v>
      </c>
      <c r="E615" s="25">
        <v>0</v>
      </c>
      <c r="F615" s="47">
        <f t="shared" si="30"/>
        <v>24077</v>
      </c>
      <c r="G615" s="74">
        <f t="shared" si="31"/>
        <v>481009.57000000007</v>
      </c>
      <c r="H615" s="71"/>
      <c r="I615" s="42"/>
      <c r="J615" s="42"/>
    </row>
    <row r="616" spans="2:13" s="3" customFormat="1" ht="14.5" x14ac:dyDescent="0.35">
      <c r="B616" s="40">
        <v>16</v>
      </c>
      <c r="C616" s="38" t="s">
        <v>67</v>
      </c>
      <c r="D616" s="25">
        <v>16279</v>
      </c>
      <c r="E616" s="25">
        <v>0</v>
      </c>
      <c r="F616" s="47">
        <f t="shared" si="30"/>
        <v>16279</v>
      </c>
      <c r="G616" s="74">
        <f t="shared" si="31"/>
        <v>497288.57000000007</v>
      </c>
      <c r="H616" s="71"/>
      <c r="I616" s="42"/>
      <c r="J616" s="42"/>
    </row>
    <row r="617" spans="2:13" s="3" customFormat="1" ht="14.5" x14ac:dyDescent="0.35">
      <c r="B617" s="40">
        <v>17</v>
      </c>
      <c r="C617" s="38" t="s">
        <v>68</v>
      </c>
      <c r="D617" s="25">
        <v>0</v>
      </c>
      <c r="E617" s="25">
        <v>0</v>
      </c>
      <c r="F617" s="47">
        <f t="shared" si="30"/>
        <v>0</v>
      </c>
      <c r="G617" s="74">
        <f t="shared" si="31"/>
        <v>497288.57000000007</v>
      </c>
      <c r="H617" s="71"/>
      <c r="I617" s="42"/>
      <c r="J617" s="42"/>
    </row>
    <row r="618" spans="2:13" s="3" customFormat="1" ht="14.5" x14ac:dyDescent="0.35">
      <c r="B618" s="40">
        <v>18</v>
      </c>
      <c r="C618" s="38" t="s">
        <v>69</v>
      </c>
      <c r="D618" s="25">
        <v>0</v>
      </c>
      <c r="E618" s="25">
        <v>0</v>
      </c>
      <c r="F618" s="47">
        <f t="shared" si="30"/>
        <v>0</v>
      </c>
      <c r="G618" s="74">
        <f t="shared" si="31"/>
        <v>497288.57000000007</v>
      </c>
      <c r="H618" s="71"/>
      <c r="I618" s="42"/>
      <c r="J618" s="42"/>
    </row>
    <row r="619" spans="2:13" s="3" customFormat="1" ht="14.5" x14ac:dyDescent="0.35">
      <c r="B619" s="40">
        <v>19</v>
      </c>
      <c r="C619" s="38" t="s">
        <v>70</v>
      </c>
      <c r="D619" s="25">
        <v>0</v>
      </c>
      <c r="E619" s="25">
        <v>0</v>
      </c>
      <c r="F619" s="47">
        <f t="shared" si="30"/>
        <v>0</v>
      </c>
      <c r="G619" s="74">
        <f t="shared" si="31"/>
        <v>497288.57000000007</v>
      </c>
      <c r="H619" s="71"/>
      <c r="I619" s="42"/>
      <c r="J619" s="42"/>
    </row>
    <row r="620" spans="2:13" s="3" customFormat="1" ht="14.5" x14ac:dyDescent="0.35">
      <c r="B620" s="40">
        <v>20</v>
      </c>
      <c r="C620" s="38" t="s">
        <v>71</v>
      </c>
      <c r="D620" s="25">
        <v>0</v>
      </c>
      <c r="E620" s="25">
        <v>0</v>
      </c>
      <c r="F620" s="47">
        <f t="shared" si="30"/>
        <v>0</v>
      </c>
      <c r="G620" s="74">
        <f t="shared" si="31"/>
        <v>497288.57000000007</v>
      </c>
      <c r="H620" s="71"/>
      <c r="I620" s="42"/>
      <c r="J620" s="42"/>
    </row>
    <row r="621" spans="2:13" s="3" customFormat="1" ht="14.5" x14ac:dyDescent="0.35">
      <c r="B621" s="40">
        <v>21</v>
      </c>
      <c r="C621" s="38" t="s">
        <v>72</v>
      </c>
      <c r="D621" s="25">
        <v>0</v>
      </c>
      <c r="E621" s="25">
        <v>0</v>
      </c>
      <c r="F621" s="47">
        <f t="shared" si="30"/>
        <v>0</v>
      </c>
      <c r="G621" s="74">
        <f t="shared" si="31"/>
        <v>497288.57000000007</v>
      </c>
      <c r="H621" s="71"/>
      <c r="I621" s="42"/>
      <c r="J621" s="42"/>
    </row>
    <row r="622" spans="2:13" s="3" customFormat="1" ht="14.5" x14ac:dyDescent="0.35">
      <c r="B622" s="40">
        <v>22</v>
      </c>
      <c r="C622" s="38" t="s">
        <v>73</v>
      </c>
      <c r="D622" s="25">
        <v>0</v>
      </c>
      <c r="E622" s="25">
        <v>0</v>
      </c>
      <c r="F622" s="47">
        <f t="shared" si="30"/>
        <v>0</v>
      </c>
      <c r="G622" s="74">
        <f t="shared" si="31"/>
        <v>497288.57000000007</v>
      </c>
      <c r="H622" s="71"/>
      <c r="I622" s="42"/>
      <c r="J622" s="42"/>
    </row>
    <row r="623" spans="2:13" s="3" customFormat="1" ht="14.5" x14ac:dyDescent="0.35">
      <c r="B623" s="40">
        <v>23</v>
      </c>
      <c r="C623" s="38" t="s">
        <v>74</v>
      </c>
      <c r="D623" s="25">
        <v>0</v>
      </c>
      <c r="E623" s="25">
        <v>0</v>
      </c>
      <c r="F623" s="47">
        <f t="shared" si="30"/>
        <v>0</v>
      </c>
      <c r="G623" s="74">
        <f t="shared" si="31"/>
        <v>497288.57000000007</v>
      </c>
      <c r="H623" s="71"/>
      <c r="I623" s="42"/>
      <c r="J623" s="42"/>
    </row>
    <row r="624" spans="2:13" s="3" customFormat="1" ht="14.5" x14ac:dyDescent="0.35">
      <c r="B624" s="40">
        <v>24</v>
      </c>
      <c r="C624" s="38" t="s">
        <v>75</v>
      </c>
      <c r="D624" s="25">
        <v>0</v>
      </c>
      <c r="E624" s="25">
        <v>0</v>
      </c>
      <c r="F624" s="47">
        <f t="shared" si="30"/>
        <v>0</v>
      </c>
      <c r="G624" s="74">
        <f t="shared" si="31"/>
        <v>497288.57000000007</v>
      </c>
      <c r="H624" s="71"/>
      <c r="I624" s="42"/>
      <c r="J624" s="42"/>
    </row>
    <row r="625" spans="1:10" s="3" customFormat="1" ht="14.5" x14ac:dyDescent="0.35">
      <c r="B625" s="40">
        <v>25</v>
      </c>
      <c r="C625" s="77" t="s">
        <v>76</v>
      </c>
      <c r="D625" s="25">
        <v>0</v>
      </c>
      <c r="E625" s="25">
        <v>0</v>
      </c>
      <c r="F625" s="47">
        <f t="shared" si="30"/>
        <v>0</v>
      </c>
      <c r="G625" s="74">
        <f t="shared" si="31"/>
        <v>497288.57000000007</v>
      </c>
      <c r="H625" s="71"/>
      <c r="I625" s="42"/>
      <c r="J625" s="42"/>
    </row>
    <row r="626" spans="1:10" s="3" customFormat="1" ht="14.5" x14ac:dyDescent="0.35">
      <c r="B626" s="40">
        <v>26</v>
      </c>
      <c r="C626" s="77" t="s">
        <v>77</v>
      </c>
      <c r="D626" s="105">
        <v>0</v>
      </c>
      <c r="E626" s="106">
        <v>0</v>
      </c>
      <c r="F626" s="107">
        <f t="shared" si="30"/>
        <v>0</v>
      </c>
      <c r="G626" s="113">
        <f t="shared" si="31"/>
        <v>497288.57000000007</v>
      </c>
      <c r="H626" s="71"/>
      <c r="I626" s="42"/>
      <c r="J626" s="42"/>
    </row>
    <row r="627" spans="1:10" s="3" customFormat="1" ht="14.5" x14ac:dyDescent="0.35">
      <c r="B627" s="40">
        <v>27</v>
      </c>
      <c r="C627" s="38" t="s">
        <v>81</v>
      </c>
      <c r="D627" s="20">
        <v>0</v>
      </c>
      <c r="E627" s="20">
        <v>0</v>
      </c>
      <c r="F627" s="43">
        <f t="shared" si="30"/>
        <v>0</v>
      </c>
      <c r="G627" s="94">
        <f t="shared" si="31"/>
        <v>497288.57000000007</v>
      </c>
      <c r="H627" s="71"/>
      <c r="I627" s="42"/>
      <c r="J627" s="42"/>
    </row>
    <row r="628" spans="1:10" s="3" customFormat="1" ht="13.25" customHeight="1" x14ac:dyDescent="0.35">
      <c r="B628" s="40">
        <v>28</v>
      </c>
      <c r="C628" s="77" t="s">
        <v>87</v>
      </c>
      <c r="D628" s="25">
        <v>0</v>
      </c>
      <c r="E628" s="25">
        <v>0</v>
      </c>
      <c r="F628" s="47">
        <f t="shared" si="30"/>
        <v>0</v>
      </c>
      <c r="G628" s="76">
        <f t="shared" si="31"/>
        <v>497288.57000000007</v>
      </c>
      <c r="H628" s="71"/>
      <c r="I628" s="42"/>
      <c r="J628" s="42"/>
    </row>
    <row r="629" spans="1:10" ht="14.5" x14ac:dyDescent="0.35">
      <c r="A629" s="3"/>
      <c r="B629" s="5" t="s">
        <v>52</v>
      </c>
      <c r="C629" s="78" t="s">
        <v>52</v>
      </c>
      <c r="D629" s="79" t="s">
        <v>52</v>
      </c>
      <c r="E629" s="79" t="s">
        <v>52</v>
      </c>
      <c r="F629" s="79" t="s">
        <v>52</v>
      </c>
      <c r="G629" s="79" t="s">
        <v>52</v>
      </c>
      <c r="H629" s="6" t="s">
        <v>52</v>
      </c>
      <c r="I629" s="3"/>
    </row>
    <row r="630" spans="1:10" ht="14.5" x14ac:dyDescent="0.35">
      <c r="A630" s="3"/>
      <c r="B630" s="8" t="s">
        <v>34</v>
      </c>
      <c r="C630" s="80"/>
      <c r="D630" s="79" t="s">
        <v>52</v>
      </c>
      <c r="E630" s="79" t="s">
        <v>52</v>
      </c>
      <c r="F630" s="79" t="s">
        <v>52</v>
      </c>
      <c r="G630" s="79" t="s">
        <v>52</v>
      </c>
      <c r="H630" s="6" t="s">
        <v>52</v>
      </c>
      <c r="I630" s="3"/>
    </row>
    <row r="631" spans="1:10" ht="14.5" x14ac:dyDescent="0.35">
      <c r="A631" s="3"/>
      <c r="B631" s="9" t="s">
        <v>35</v>
      </c>
      <c r="C631" s="5"/>
      <c r="D631" s="6"/>
      <c r="E631" s="6"/>
      <c r="F631" s="81"/>
      <c r="G631" s="81"/>
      <c r="H631" s="82"/>
      <c r="I631" s="3"/>
    </row>
    <row r="632" spans="1:10" ht="14.5" x14ac:dyDescent="0.35">
      <c r="A632" s="3"/>
      <c r="B632" s="9" t="s">
        <v>36</v>
      </c>
      <c r="C632" s="5"/>
      <c r="D632" s="6"/>
      <c r="E632" s="6"/>
      <c r="F632" s="81"/>
      <c r="G632" s="79" t="s">
        <v>52</v>
      </c>
      <c r="H632" s="6" t="s">
        <v>52</v>
      </c>
      <c r="I632" s="3"/>
    </row>
    <row r="633" spans="1:10" ht="14.5" x14ac:dyDescent="0.35">
      <c r="A633" s="3"/>
      <c r="B633" s="9" t="s">
        <v>37</v>
      </c>
      <c r="C633" s="5"/>
      <c r="D633" s="6"/>
      <c r="E633" s="6"/>
      <c r="F633" s="79" t="s">
        <v>52</v>
      </c>
      <c r="G633" s="79" t="s">
        <v>52</v>
      </c>
      <c r="H633" s="6" t="s">
        <v>52</v>
      </c>
      <c r="I633" s="3"/>
    </row>
    <row r="634" spans="1:10" ht="14.5" x14ac:dyDescent="0.35">
      <c r="A634" s="3"/>
      <c r="B634" s="3"/>
      <c r="C634" s="63"/>
      <c r="D634" s="64"/>
      <c r="E634" s="64"/>
      <c r="F634" s="64"/>
      <c r="G634" s="64"/>
      <c r="H634" s="39"/>
      <c r="I634" s="3"/>
    </row>
    <row r="635" spans="1:10" ht="14.5" x14ac:dyDescent="0.35">
      <c r="A635" s="3"/>
      <c r="B635" s="59" t="s">
        <v>60</v>
      </c>
      <c r="C635" s="60"/>
      <c r="D635" s="61"/>
      <c r="E635" s="61"/>
      <c r="F635" s="61"/>
      <c r="G635" s="61"/>
      <c r="H635" s="62"/>
      <c r="I635" s="3"/>
    </row>
    <row r="636" spans="1:10" ht="14.5" x14ac:dyDescent="0.35">
      <c r="A636" s="3"/>
      <c r="B636" s="59" t="s">
        <v>51</v>
      </c>
      <c r="C636" s="60"/>
      <c r="D636" s="61"/>
      <c r="E636" s="61" t="s">
        <v>52</v>
      </c>
      <c r="F636" s="61" t="s">
        <v>52</v>
      </c>
      <c r="G636" s="61" t="s">
        <v>52</v>
      </c>
      <c r="H636" s="62" t="s">
        <v>52</v>
      </c>
      <c r="I636" s="3"/>
    </row>
    <row r="637" spans="1:10" ht="14.5" x14ac:dyDescent="0.35">
      <c r="A637" s="3"/>
      <c r="B637" s="95"/>
      <c r="C637" s="96"/>
      <c r="D637" s="97"/>
      <c r="E637" s="97"/>
      <c r="F637" s="97"/>
      <c r="G637" s="97"/>
      <c r="H637" s="98"/>
      <c r="I637" s="3"/>
    </row>
    <row r="638" spans="1:10" ht="14.5" x14ac:dyDescent="0.35">
      <c r="A638" s="3"/>
      <c r="B638" s="3"/>
      <c r="C638" s="63"/>
      <c r="D638" s="64"/>
      <c r="E638" s="64"/>
      <c r="F638" s="64"/>
      <c r="G638" s="64"/>
      <c r="H638" s="39"/>
      <c r="I638" s="3"/>
    </row>
    <row r="639" spans="1:10" ht="14.5" x14ac:dyDescent="0.35">
      <c r="A639" s="3"/>
      <c r="B639" s="3"/>
      <c r="C639" s="63"/>
      <c r="D639" s="64"/>
      <c r="E639" s="64"/>
      <c r="F639" s="64"/>
      <c r="G639" s="64"/>
      <c r="H639" s="39"/>
      <c r="I639" s="3"/>
    </row>
    <row r="640" spans="1:10" ht="16.5" customHeight="1" x14ac:dyDescent="0.45">
      <c r="A640" s="32"/>
      <c r="B640" s="33" t="s">
        <v>52</v>
      </c>
      <c r="C640" s="65" t="s">
        <v>52</v>
      </c>
      <c r="D640" s="197" t="s">
        <v>61</v>
      </c>
      <c r="E640" s="197"/>
      <c r="F640" s="197"/>
      <c r="G640" s="197"/>
      <c r="H640" s="197"/>
      <c r="I640" s="2" t="s">
        <v>0</v>
      </c>
    </row>
    <row r="641" spans="1:11" ht="15.9" customHeight="1" x14ac:dyDescent="0.4">
      <c r="A641" s="3"/>
      <c r="B641" s="128" t="s">
        <v>88</v>
      </c>
      <c r="C641" s="128"/>
      <c r="D641" s="128"/>
      <c r="E641" s="128"/>
      <c r="F641" s="128"/>
      <c r="G641" s="128"/>
      <c r="H641" s="128"/>
      <c r="I641" s="2" t="s">
        <v>1</v>
      </c>
    </row>
    <row r="642" spans="1:11" ht="14.5" x14ac:dyDescent="0.35">
      <c r="A642" s="3"/>
      <c r="B642" s="14"/>
      <c r="C642" s="15"/>
      <c r="D642" s="142" t="s">
        <v>6</v>
      </c>
      <c r="E642" s="143"/>
      <c r="F642" s="143"/>
      <c r="G642" s="190"/>
      <c r="H642" s="191" t="s">
        <v>52</v>
      </c>
      <c r="I642" s="2" t="s">
        <v>2</v>
      </c>
    </row>
    <row r="643" spans="1:11" ht="14.5" x14ac:dyDescent="0.35">
      <c r="A643" s="3"/>
      <c r="B643" s="12"/>
      <c r="C643" s="13"/>
      <c r="D643" s="145" t="s">
        <v>9</v>
      </c>
      <c r="E643" s="146"/>
      <c r="F643" s="146"/>
      <c r="G643" s="192"/>
      <c r="H643" s="191"/>
      <c r="I643" s="2" t="s">
        <v>3</v>
      </c>
    </row>
    <row r="644" spans="1:11" ht="14.5" x14ac:dyDescent="0.35">
      <c r="A644" s="3"/>
      <c r="B644" s="133" t="s">
        <v>10</v>
      </c>
      <c r="C644" s="135" t="s">
        <v>11</v>
      </c>
      <c r="D644" s="51" t="s">
        <v>12</v>
      </c>
      <c r="E644" s="51" t="s">
        <v>13</v>
      </c>
      <c r="F644" s="51" t="s">
        <v>14</v>
      </c>
      <c r="G644" s="66" t="s">
        <v>15</v>
      </c>
      <c r="H644" s="186" t="s">
        <v>52</v>
      </c>
      <c r="I644" s="2" t="s">
        <v>4</v>
      </c>
    </row>
    <row r="645" spans="1:11" ht="14.5" x14ac:dyDescent="0.35">
      <c r="A645" s="3"/>
      <c r="B645" s="134"/>
      <c r="C645" s="136"/>
      <c r="D645" s="154" t="s">
        <v>20</v>
      </c>
      <c r="E645" s="155"/>
      <c r="F645" s="155"/>
      <c r="G645" s="187"/>
      <c r="H645" s="186"/>
      <c r="I645" s="3"/>
    </row>
    <row r="646" spans="1:11" ht="14.5" x14ac:dyDescent="0.35">
      <c r="A646" s="3"/>
      <c r="B646" s="40">
        <v>4</v>
      </c>
      <c r="C646" s="67" t="s">
        <v>21</v>
      </c>
      <c r="D646" s="68">
        <v>82728.69</v>
      </c>
      <c r="E646" s="25">
        <v>0</v>
      </c>
      <c r="F646" s="69">
        <f>+E646+D646</f>
        <v>82728.69</v>
      </c>
      <c r="G646" s="70">
        <f>+F646</f>
        <v>82728.69</v>
      </c>
      <c r="H646" s="71" t="s">
        <v>52</v>
      </c>
      <c r="I646" s="3"/>
    </row>
    <row r="647" spans="1:11" ht="14.5" x14ac:dyDescent="0.35">
      <c r="A647" s="3"/>
      <c r="B647" s="72">
        <v>5</v>
      </c>
      <c r="C647" s="73" t="s">
        <v>22</v>
      </c>
      <c r="D647" s="68">
        <v>43278.53</v>
      </c>
      <c r="E647" s="25">
        <v>0</v>
      </c>
      <c r="F647" s="69">
        <f>+E647+D647</f>
        <v>43278.53</v>
      </c>
      <c r="G647" s="70">
        <f>+G646+F647</f>
        <v>126007.22</v>
      </c>
      <c r="H647" s="71" t="s">
        <v>52</v>
      </c>
      <c r="I647" s="3"/>
    </row>
    <row r="648" spans="1:11" ht="14.5" x14ac:dyDescent="0.35">
      <c r="A648" s="3"/>
      <c r="B648" s="72">
        <v>6</v>
      </c>
      <c r="C648" s="73" t="s">
        <v>23</v>
      </c>
      <c r="D648" s="68">
        <v>243466.02</v>
      </c>
      <c r="E648" s="25">
        <v>0</v>
      </c>
      <c r="F648" s="69">
        <f>+E648+D648</f>
        <v>243466.02</v>
      </c>
      <c r="G648" s="70">
        <f>+G647+F648</f>
        <v>369473.24</v>
      </c>
      <c r="H648" s="71" t="s">
        <v>52</v>
      </c>
      <c r="I648" s="3"/>
    </row>
    <row r="649" spans="1:11" ht="14.5" x14ac:dyDescent="0.35">
      <c r="A649" s="3"/>
      <c r="B649" s="72">
        <v>7</v>
      </c>
      <c r="C649" s="73" t="s">
        <v>24</v>
      </c>
      <c r="D649" s="68">
        <v>128048.59</v>
      </c>
      <c r="E649" s="25">
        <f>144440.09-128048.59</f>
        <v>16391.5</v>
      </c>
      <c r="F649" s="69">
        <f>+E649+D649</f>
        <v>144440.09</v>
      </c>
      <c r="G649" s="70">
        <f>+G648+F649</f>
        <v>513913.32999999996</v>
      </c>
      <c r="H649" s="71" t="s">
        <v>52</v>
      </c>
      <c r="I649" s="3"/>
    </row>
    <row r="650" spans="1:11" ht="14.5" x14ac:dyDescent="0.35">
      <c r="A650" s="3"/>
      <c r="B650" s="40">
        <v>8</v>
      </c>
      <c r="C650" s="38" t="s">
        <v>25</v>
      </c>
      <c r="D650" s="25">
        <v>176977.01</v>
      </c>
      <c r="E650" s="25">
        <v>0</v>
      </c>
      <c r="F650" s="69">
        <f>+E650+D650</f>
        <v>176977.01</v>
      </c>
      <c r="G650" s="70">
        <f>+G649+F650</f>
        <v>690890.34</v>
      </c>
      <c r="H650" s="71"/>
      <c r="I650" s="10"/>
      <c r="J650" s="3"/>
      <c r="K650" s="3"/>
    </row>
    <row r="651" spans="1:11" s="3" customFormat="1" ht="14.5" x14ac:dyDescent="0.35">
      <c r="B651" s="40">
        <v>9</v>
      </c>
      <c r="C651" s="38" t="s">
        <v>26</v>
      </c>
      <c r="D651" s="25">
        <v>147726.51</v>
      </c>
      <c r="E651" s="25">
        <v>0</v>
      </c>
      <c r="F651" s="47">
        <f t="shared" ref="F651:F670" si="33">+E651+D651</f>
        <v>147726.51</v>
      </c>
      <c r="G651" s="74">
        <f t="shared" ref="G651:G670" si="34">+G650+F651</f>
        <v>838616.85</v>
      </c>
      <c r="H651" s="71"/>
      <c r="I651" s="42"/>
      <c r="J651" s="42"/>
    </row>
    <row r="652" spans="1:11" s="3" customFormat="1" ht="14.5" x14ac:dyDescent="0.35">
      <c r="B652" s="40">
        <v>10</v>
      </c>
      <c r="C652" s="38" t="s">
        <v>62</v>
      </c>
      <c r="D652" s="25">
        <v>153212.01999999999</v>
      </c>
      <c r="E652" s="25">
        <v>0</v>
      </c>
      <c r="F652" s="47">
        <f>+E652+D652</f>
        <v>153212.01999999999</v>
      </c>
      <c r="G652" s="74">
        <f>+G651+F652</f>
        <v>991828.87</v>
      </c>
      <c r="H652" s="71"/>
      <c r="I652" s="42"/>
      <c r="J652" s="42"/>
    </row>
    <row r="653" spans="1:11" s="3" customFormat="1" ht="15.75" customHeight="1" x14ac:dyDescent="0.35">
      <c r="B653" s="40">
        <v>11</v>
      </c>
      <c r="C653" s="38" t="s">
        <v>63</v>
      </c>
      <c r="D653" s="25">
        <v>61012.02</v>
      </c>
      <c r="E653" s="25">
        <v>0</v>
      </c>
      <c r="F653" s="47">
        <f t="shared" si="33"/>
        <v>61012.02</v>
      </c>
      <c r="G653" s="74">
        <f>+G652+F653</f>
        <v>1052840.8899999999</v>
      </c>
      <c r="H653" s="71"/>
      <c r="I653" s="42"/>
      <c r="J653" s="42"/>
    </row>
    <row r="654" spans="1:11" s="3" customFormat="1" ht="15.75" customHeight="1" x14ac:dyDescent="0.35">
      <c r="B654" s="40">
        <v>12</v>
      </c>
      <c r="C654" s="38" t="s">
        <v>78</v>
      </c>
      <c r="D654" s="25">
        <v>167377.04999999999</v>
      </c>
      <c r="E654" s="25">
        <v>0</v>
      </c>
      <c r="F654" s="47">
        <f t="shared" si="33"/>
        <v>167377.04999999999</v>
      </c>
      <c r="G654" s="74">
        <f t="shared" si="34"/>
        <v>1220217.94</v>
      </c>
      <c r="H654" s="71"/>
      <c r="I654" s="42"/>
      <c r="J654" s="42"/>
    </row>
    <row r="655" spans="1:11" s="3" customFormat="1" ht="15.75" customHeight="1" x14ac:dyDescent="0.35">
      <c r="B655" s="40">
        <v>13</v>
      </c>
      <c r="C655" s="38" t="s">
        <v>64</v>
      </c>
      <c r="D655" s="25">
        <v>99917.55</v>
      </c>
      <c r="E655" s="25">
        <v>0</v>
      </c>
      <c r="F655" s="47">
        <f t="shared" si="33"/>
        <v>99917.55</v>
      </c>
      <c r="G655" s="74">
        <f t="shared" si="34"/>
        <v>1320135.49</v>
      </c>
      <c r="H655" s="71"/>
      <c r="I655" s="42"/>
      <c r="J655" s="42"/>
    </row>
    <row r="656" spans="1:11" s="3" customFormat="1" ht="15.75" customHeight="1" x14ac:dyDescent="0.35">
      <c r="B656" s="40">
        <v>14</v>
      </c>
      <c r="C656" s="58" t="s">
        <v>65</v>
      </c>
      <c r="D656" s="25">
        <v>7466.5</v>
      </c>
      <c r="E656" s="25">
        <v>0</v>
      </c>
      <c r="F656" s="47">
        <f t="shared" si="33"/>
        <v>7466.5</v>
      </c>
      <c r="G656" s="74">
        <f t="shared" si="34"/>
        <v>1327601.99</v>
      </c>
      <c r="H656" s="71"/>
      <c r="I656" s="42"/>
      <c r="J656" s="42"/>
    </row>
    <row r="657" spans="1:10" s="3" customFormat="1" ht="15.75" customHeight="1" x14ac:dyDescent="0.35">
      <c r="B657" s="40">
        <v>15</v>
      </c>
      <c r="C657" s="38" t="s">
        <v>66</v>
      </c>
      <c r="D657" s="25">
        <v>98486</v>
      </c>
      <c r="E657" s="25">
        <v>0</v>
      </c>
      <c r="F657" s="47">
        <f t="shared" si="33"/>
        <v>98486</v>
      </c>
      <c r="G657" s="74">
        <f t="shared" si="34"/>
        <v>1426087.99</v>
      </c>
      <c r="H657" s="71"/>
      <c r="I657" s="42"/>
      <c r="J657" s="42"/>
    </row>
    <row r="658" spans="1:10" s="3" customFormat="1" ht="15.75" customHeight="1" x14ac:dyDescent="0.35">
      <c r="B658" s="40">
        <v>16</v>
      </c>
      <c r="C658" s="38" t="s">
        <v>67</v>
      </c>
      <c r="D658" s="25">
        <v>25932.5</v>
      </c>
      <c r="E658" s="25">
        <v>0</v>
      </c>
      <c r="F658" s="47">
        <f t="shared" si="33"/>
        <v>25932.5</v>
      </c>
      <c r="G658" s="74">
        <f t="shared" si="34"/>
        <v>1452020.49</v>
      </c>
      <c r="H658" s="71"/>
      <c r="I658" s="42"/>
      <c r="J658" s="42"/>
    </row>
    <row r="659" spans="1:10" s="3" customFormat="1" ht="15.75" customHeight="1" x14ac:dyDescent="0.35">
      <c r="B659" s="40">
        <v>17</v>
      </c>
      <c r="C659" s="38" t="s">
        <v>68</v>
      </c>
      <c r="D659" s="25">
        <v>102848</v>
      </c>
      <c r="E659" s="25">
        <v>0</v>
      </c>
      <c r="F659" s="47">
        <f t="shared" si="33"/>
        <v>102848</v>
      </c>
      <c r="G659" s="74">
        <f t="shared" si="34"/>
        <v>1554868.49</v>
      </c>
      <c r="H659" s="71"/>
      <c r="I659" s="42"/>
      <c r="J659" s="42"/>
    </row>
    <row r="660" spans="1:10" s="3" customFormat="1" ht="15.75" customHeight="1" x14ac:dyDescent="0.35">
      <c r="B660" s="40">
        <v>18</v>
      </c>
      <c r="C660" s="38" t="s">
        <v>69</v>
      </c>
      <c r="D660" s="25">
        <v>74591</v>
      </c>
      <c r="E660" s="25">
        <v>0</v>
      </c>
      <c r="F660" s="47">
        <f t="shared" si="33"/>
        <v>74591</v>
      </c>
      <c r="G660" s="74">
        <f t="shared" si="34"/>
        <v>1629459.49</v>
      </c>
      <c r="H660" s="71"/>
      <c r="I660" s="42"/>
      <c r="J660" s="42"/>
    </row>
    <row r="661" spans="1:10" s="3" customFormat="1" ht="15.75" customHeight="1" x14ac:dyDescent="0.35">
      <c r="B661" s="40">
        <v>19</v>
      </c>
      <c r="C661" s="38" t="s">
        <v>70</v>
      </c>
      <c r="D661" s="25">
        <v>95211.5</v>
      </c>
      <c r="E661" s="25">
        <v>0</v>
      </c>
      <c r="F661" s="47">
        <f t="shared" si="33"/>
        <v>95211.5</v>
      </c>
      <c r="G661" s="74">
        <f t="shared" si="34"/>
        <v>1724670.99</v>
      </c>
      <c r="H661" s="71"/>
      <c r="I661" s="42"/>
      <c r="J661" s="42"/>
    </row>
    <row r="662" spans="1:10" s="3" customFormat="1" ht="15.75" customHeight="1" x14ac:dyDescent="0.35">
      <c r="B662" s="40">
        <v>20</v>
      </c>
      <c r="C662" s="38" t="s">
        <v>71</v>
      </c>
      <c r="D662" s="25">
        <v>17880.5</v>
      </c>
      <c r="E662" s="25">
        <v>10850</v>
      </c>
      <c r="F662" s="47">
        <f t="shared" si="33"/>
        <v>28730.5</v>
      </c>
      <c r="G662" s="74">
        <f t="shared" si="34"/>
        <v>1753401.49</v>
      </c>
      <c r="H662" s="71"/>
      <c r="I662" s="42"/>
      <c r="J662" s="42"/>
    </row>
    <row r="663" spans="1:10" s="3" customFormat="1" ht="15.75" customHeight="1" x14ac:dyDescent="0.35">
      <c r="B663" s="40">
        <v>21</v>
      </c>
      <c r="C663" s="38" t="s">
        <v>72</v>
      </c>
      <c r="D663" s="25">
        <v>121169.5</v>
      </c>
      <c r="E663" s="25">
        <v>0</v>
      </c>
      <c r="F663" s="47">
        <f t="shared" si="33"/>
        <v>121169.5</v>
      </c>
      <c r="G663" s="74">
        <f t="shared" si="34"/>
        <v>1874570.99</v>
      </c>
      <c r="H663" s="71"/>
      <c r="I663" s="42" t="s">
        <v>86</v>
      </c>
      <c r="J663" s="42"/>
    </row>
    <row r="664" spans="1:10" s="3" customFormat="1" ht="15.75" customHeight="1" x14ac:dyDescent="0.35">
      <c r="B664" s="40">
        <v>22</v>
      </c>
      <c r="C664" s="38" t="s">
        <v>73</v>
      </c>
      <c r="D664" s="25">
        <v>76146</v>
      </c>
      <c r="E664" s="25">
        <v>0</v>
      </c>
      <c r="F664" s="47">
        <f t="shared" si="33"/>
        <v>76146</v>
      </c>
      <c r="G664" s="74">
        <f t="shared" si="34"/>
        <v>1950716.99</v>
      </c>
      <c r="H664" s="71"/>
      <c r="I664" s="42"/>
      <c r="J664" s="42"/>
    </row>
    <row r="665" spans="1:10" s="3" customFormat="1" ht="15.75" customHeight="1" x14ac:dyDescent="0.35">
      <c r="B665" s="40">
        <v>23</v>
      </c>
      <c r="C665" s="38" t="s">
        <v>74</v>
      </c>
      <c r="D665" s="25">
        <v>72425</v>
      </c>
      <c r="E665" s="25">
        <v>0</v>
      </c>
      <c r="F665" s="47">
        <f t="shared" si="33"/>
        <v>72425</v>
      </c>
      <c r="G665" s="74">
        <f t="shared" si="34"/>
        <v>2023141.99</v>
      </c>
      <c r="H665" s="71"/>
      <c r="I665" s="42"/>
      <c r="J665" s="42"/>
    </row>
    <row r="666" spans="1:10" s="3" customFormat="1" ht="15.75" customHeight="1" x14ac:dyDescent="0.35">
      <c r="B666" s="40">
        <v>24</v>
      </c>
      <c r="C666" s="38" t="s">
        <v>75</v>
      </c>
      <c r="D666" s="25">
        <v>1090</v>
      </c>
      <c r="E666" s="25">
        <v>0</v>
      </c>
      <c r="F666" s="47">
        <f t="shared" si="33"/>
        <v>1090</v>
      </c>
      <c r="G666" s="74">
        <f t="shared" si="34"/>
        <v>2024231.99</v>
      </c>
      <c r="H666" s="71"/>
      <c r="I666" s="42"/>
      <c r="J666" s="42"/>
    </row>
    <row r="667" spans="1:10" s="3" customFormat="1" ht="15.75" customHeight="1" x14ac:dyDescent="0.35">
      <c r="B667" s="40">
        <v>25</v>
      </c>
      <c r="C667" s="77" t="s">
        <v>76</v>
      </c>
      <c r="D667" s="25">
        <v>29916</v>
      </c>
      <c r="E667" s="25">
        <v>0</v>
      </c>
      <c r="F667" s="47">
        <f t="shared" si="33"/>
        <v>29916</v>
      </c>
      <c r="G667" s="74">
        <f>+G666+F667</f>
        <v>2054147.99</v>
      </c>
      <c r="H667" s="71"/>
      <c r="I667" s="42"/>
      <c r="J667" s="42"/>
    </row>
    <row r="668" spans="1:10" s="3" customFormat="1" ht="15.75" customHeight="1" x14ac:dyDescent="0.35">
      <c r="B668" s="40">
        <v>26</v>
      </c>
      <c r="C668" s="77" t="s">
        <v>77</v>
      </c>
      <c r="D668" s="105">
        <v>0</v>
      </c>
      <c r="E668" s="106">
        <v>0</v>
      </c>
      <c r="F668" s="107">
        <f t="shared" si="33"/>
        <v>0</v>
      </c>
      <c r="G668" s="113">
        <f t="shared" si="34"/>
        <v>2054147.99</v>
      </c>
      <c r="H668" s="71"/>
      <c r="I668" s="42"/>
      <c r="J668" s="42"/>
    </row>
    <row r="669" spans="1:10" s="3" customFormat="1" ht="14.5" x14ac:dyDescent="0.35">
      <c r="B669" s="40">
        <v>27</v>
      </c>
      <c r="C669" s="38" t="s">
        <v>81</v>
      </c>
      <c r="D669" s="20">
        <v>0</v>
      </c>
      <c r="E669" s="20">
        <v>0</v>
      </c>
      <c r="F669" s="43">
        <f t="shared" si="33"/>
        <v>0</v>
      </c>
      <c r="G669" s="94">
        <f t="shared" si="34"/>
        <v>2054147.99</v>
      </c>
      <c r="H669" s="71"/>
      <c r="I669" s="42"/>
      <c r="J669" s="42"/>
    </row>
    <row r="670" spans="1:10" s="3" customFormat="1" ht="13.25" customHeight="1" x14ac:dyDescent="0.35">
      <c r="B670" s="40">
        <v>28</v>
      </c>
      <c r="C670" s="77" t="s">
        <v>87</v>
      </c>
      <c r="D670" s="25">
        <v>7074</v>
      </c>
      <c r="E670" s="25">
        <v>0</v>
      </c>
      <c r="F670" s="47">
        <f t="shared" si="33"/>
        <v>7074</v>
      </c>
      <c r="G670" s="76">
        <f t="shared" si="34"/>
        <v>2061221.99</v>
      </c>
      <c r="H670" s="71"/>
      <c r="I670" s="42"/>
      <c r="J670" s="42"/>
    </row>
    <row r="671" spans="1:10" ht="15.75" customHeight="1" x14ac:dyDescent="0.35">
      <c r="A671" s="3"/>
      <c r="B671" s="5" t="s">
        <v>52</v>
      </c>
      <c r="C671" s="78" t="s">
        <v>52</v>
      </c>
      <c r="D671" s="79" t="s">
        <v>52</v>
      </c>
      <c r="E671" s="79" t="s">
        <v>52</v>
      </c>
      <c r="F671" s="79" t="s">
        <v>52</v>
      </c>
      <c r="G671" s="79" t="s">
        <v>52</v>
      </c>
      <c r="H671" s="6" t="s">
        <v>52</v>
      </c>
      <c r="I671" s="39"/>
    </row>
    <row r="672" spans="1:10" ht="14.5" x14ac:dyDescent="0.35">
      <c r="A672" s="3"/>
      <c r="B672" s="8" t="s">
        <v>34</v>
      </c>
      <c r="C672" s="80"/>
      <c r="D672" s="79" t="s">
        <v>52</v>
      </c>
      <c r="E672" s="79" t="s">
        <v>52</v>
      </c>
      <c r="F672" s="79" t="s">
        <v>52</v>
      </c>
      <c r="G672" s="79" t="s">
        <v>52</v>
      </c>
      <c r="H672" s="6" t="s">
        <v>52</v>
      </c>
      <c r="I672" s="3"/>
    </row>
    <row r="673" spans="1:15" ht="14.5" x14ac:dyDescent="0.35">
      <c r="A673" s="3"/>
      <c r="B673" s="9" t="s">
        <v>35</v>
      </c>
      <c r="C673" s="5"/>
      <c r="D673" s="6"/>
      <c r="E673" s="6"/>
      <c r="F673" s="81"/>
      <c r="G673" s="81"/>
      <c r="H673" s="82"/>
      <c r="I673" s="3"/>
    </row>
    <row r="674" spans="1:15" ht="14.5" x14ac:dyDescent="0.35">
      <c r="A674" s="3"/>
      <c r="B674" s="9" t="s">
        <v>36</v>
      </c>
      <c r="C674" s="5"/>
      <c r="D674" s="6"/>
      <c r="E674" s="6"/>
      <c r="F674" s="81"/>
      <c r="G674" s="79" t="s">
        <v>52</v>
      </c>
      <c r="H674" s="6" t="s">
        <v>52</v>
      </c>
      <c r="I674" s="3"/>
    </row>
    <row r="675" spans="1:15" ht="14.5" x14ac:dyDescent="0.35">
      <c r="A675" s="3"/>
      <c r="B675" s="9" t="s">
        <v>37</v>
      </c>
      <c r="C675" s="5"/>
      <c r="D675" s="6"/>
      <c r="E675" s="6"/>
      <c r="F675" s="79" t="s">
        <v>52</v>
      </c>
      <c r="G675" s="79" t="s">
        <v>52</v>
      </c>
      <c r="H675" s="6" t="s">
        <v>52</v>
      </c>
      <c r="I675" s="3"/>
    </row>
    <row r="676" spans="1:15" ht="14.5" x14ac:dyDescent="0.35">
      <c r="A676" s="3"/>
      <c r="B676" s="9" t="s">
        <v>52</v>
      </c>
      <c r="C676" s="78" t="s">
        <v>52</v>
      </c>
      <c r="D676" s="79" t="s">
        <v>52</v>
      </c>
      <c r="E676" s="79" t="s">
        <v>52</v>
      </c>
      <c r="F676" s="79" t="s">
        <v>52</v>
      </c>
      <c r="G676" s="79" t="s">
        <v>52</v>
      </c>
      <c r="H676" s="6" t="s">
        <v>52</v>
      </c>
      <c r="I676" s="3"/>
    </row>
    <row r="677" spans="1:15" ht="14.5" x14ac:dyDescent="0.35">
      <c r="A677" s="3"/>
      <c r="B677" s="9" t="s">
        <v>52</v>
      </c>
      <c r="C677" s="78" t="s">
        <v>52</v>
      </c>
      <c r="D677" s="79" t="s">
        <v>52</v>
      </c>
      <c r="E677" s="79" t="s">
        <v>52</v>
      </c>
      <c r="F677" s="79" t="s">
        <v>52</v>
      </c>
      <c r="G677" s="79" t="s">
        <v>52</v>
      </c>
      <c r="H677" s="6" t="s">
        <v>52</v>
      </c>
      <c r="I677" s="3"/>
    </row>
    <row r="678" spans="1:15" ht="18.5" x14ac:dyDescent="0.45">
      <c r="A678" s="3"/>
      <c r="C678" s="83"/>
      <c r="D678" s="195" t="s">
        <v>38</v>
      </c>
      <c r="E678" s="195"/>
      <c r="F678" s="195"/>
      <c r="G678" s="195"/>
      <c r="H678" s="195"/>
      <c r="I678" s="3"/>
    </row>
    <row r="679" spans="1:15" ht="16" x14ac:dyDescent="0.4">
      <c r="A679" s="35"/>
      <c r="B679" s="26" t="s">
        <v>52</v>
      </c>
      <c r="C679" s="84" t="s">
        <v>52</v>
      </c>
      <c r="D679" s="196" t="s">
        <v>61</v>
      </c>
      <c r="E679" s="196"/>
      <c r="F679" s="196"/>
      <c r="G679" s="196"/>
      <c r="H679" s="196"/>
      <c r="I679" s="35"/>
    </row>
    <row r="680" spans="1:15" ht="15.9" customHeight="1" x14ac:dyDescent="0.4">
      <c r="A680" s="3"/>
      <c r="B680" s="128" t="s">
        <v>88</v>
      </c>
      <c r="C680" s="128"/>
      <c r="D680" s="128"/>
      <c r="E680" s="128"/>
      <c r="F680" s="128"/>
      <c r="G680" s="128"/>
      <c r="H680" s="128"/>
      <c r="I680" s="3"/>
    </row>
    <row r="681" spans="1:15" ht="14.5" x14ac:dyDescent="0.35">
      <c r="A681" s="3"/>
      <c r="B681" s="14"/>
      <c r="C681" s="15"/>
      <c r="D681" s="142" t="s">
        <v>6</v>
      </c>
      <c r="E681" s="143"/>
      <c r="F681" s="143"/>
      <c r="G681" s="190"/>
      <c r="H681" s="191" t="s">
        <v>52</v>
      </c>
      <c r="I681" s="3"/>
    </row>
    <row r="682" spans="1:15" ht="14.5" x14ac:dyDescent="0.35">
      <c r="A682" s="3"/>
      <c r="B682" s="12"/>
      <c r="C682" s="13"/>
      <c r="D682" s="145" t="s">
        <v>9</v>
      </c>
      <c r="E682" s="146"/>
      <c r="F682" s="146"/>
      <c r="G682" s="192"/>
      <c r="H682" s="191"/>
      <c r="I682" s="3"/>
    </row>
    <row r="683" spans="1:15" ht="14.5" x14ac:dyDescent="0.35">
      <c r="A683" s="3"/>
      <c r="B683" s="133" t="s">
        <v>10</v>
      </c>
      <c r="C683" s="135" t="s">
        <v>11</v>
      </c>
      <c r="D683" s="51" t="s">
        <v>12</v>
      </c>
      <c r="E683" s="51" t="s">
        <v>13</v>
      </c>
      <c r="F683" s="51" t="s">
        <v>14</v>
      </c>
      <c r="G683" s="66" t="s">
        <v>15</v>
      </c>
      <c r="H683" s="186" t="s">
        <v>52</v>
      </c>
      <c r="I683" s="3"/>
    </row>
    <row r="684" spans="1:15" ht="14.5" x14ac:dyDescent="0.35">
      <c r="A684" s="3"/>
      <c r="B684" s="134"/>
      <c r="C684" s="136"/>
      <c r="D684" s="154" t="s">
        <v>20</v>
      </c>
      <c r="E684" s="155"/>
      <c r="F684" s="155"/>
      <c r="G684" s="187"/>
      <c r="H684" s="186"/>
      <c r="I684" s="3"/>
      <c r="N684" s="99"/>
    </row>
    <row r="685" spans="1:15" ht="14.5" x14ac:dyDescent="0.35">
      <c r="A685" s="3"/>
      <c r="B685" s="40">
        <v>4</v>
      </c>
      <c r="C685" s="67" t="s">
        <v>21</v>
      </c>
      <c r="D685" s="68">
        <v>82728.69</v>
      </c>
      <c r="E685" s="25">
        <v>0</v>
      </c>
      <c r="F685" s="69">
        <f>+E685+D685</f>
        <v>82728.69</v>
      </c>
      <c r="G685" s="70">
        <f>+F685</f>
        <v>82728.69</v>
      </c>
      <c r="H685" s="71" t="s">
        <v>52</v>
      </c>
      <c r="I685" s="3"/>
    </row>
    <row r="686" spans="1:15" ht="14.5" x14ac:dyDescent="0.35">
      <c r="A686" s="3"/>
      <c r="B686" s="72">
        <v>5</v>
      </c>
      <c r="C686" s="73" t="s">
        <v>22</v>
      </c>
      <c r="D686" s="68">
        <v>20474.5</v>
      </c>
      <c r="E686" s="25">
        <v>0</v>
      </c>
      <c r="F686" s="69">
        <f>+E686+D686</f>
        <v>20474.5</v>
      </c>
      <c r="G686" s="70">
        <f>+G685+F686</f>
        <v>103203.19</v>
      </c>
      <c r="H686" s="71" t="s">
        <v>52</v>
      </c>
      <c r="I686" s="3"/>
    </row>
    <row r="687" spans="1:15" ht="14.5" x14ac:dyDescent="0.35">
      <c r="A687" s="3"/>
      <c r="B687" s="72">
        <v>6</v>
      </c>
      <c r="C687" s="73" t="s">
        <v>23</v>
      </c>
      <c r="D687" s="68">
        <v>229438</v>
      </c>
      <c r="E687" s="25">
        <v>0</v>
      </c>
      <c r="F687" s="69">
        <f>+E687+D687</f>
        <v>229438</v>
      </c>
      <c r="G687" s="70">
        <f>+G686+F687</f>
        <v>332641.19</v>
      </c>
      <c r="H687" s="71" t="s">
        <v>52</v>
      </c>
      <c r="I687" s="3"/>
      <c r="O687" s="100"/>
    </row>
    <row r="688" spans="1:15" ht="14.5" x14ac:dyDescent="0.35">
      <c r="A688" s="3"/>
      <c r="B688" s="72">
        <v>7</v>
      </c>
      <c r="C688" s="73" t="s">
        <v>24</v>
      </c>
      <c r="D688" s="68">
        <v>98529.51</v>
      </c>
      <c r="E688" s="25">
        <f>114921.01-98529.51</f>
        <v>16391.5</v>
      </c>
      <c r="F688" s="69">
        <f>+E688+D688</f>
        <v>114921.01</v>
      </c>
      <c r="G688" s="70">
        <f>+G687+F688</f>
        <v>447562.2</v>
      </c>
      <c r="H688" s="71" t="s">
        <v>52</v>
      </c>
      <c r="I688" s="3"/>
    </row>
    <row r="689" spans="1:11" ht="14.5" x14ac:dyDescent="0.35">
      <c r="A689" s="3"/>
      <c r="B689" s="40">
        <v>8</v>
      </c>
      <c r="C689" s="38" t="s">
        <v>25</v>
      </c>
      <c r="D689" s="25">
        <v>152870</v>
      </c>
      <c r="E689" s="25">
        <v>0</v>
      </c>
      <c r="F689" s="69">
        <f>+E689+D689</f>
        <v>152870</v>
      </c>
      <c r="G689" s="70">
        <f>+G688+F689</f>
        <v>600432.19999999995</v>
      </c>
      <c r="H689" s="71"/>
      <c r="I689" s="10"/>
      <c r="J689" s="3"/>
      <c r="K689" s="3"/>
    </row>
    <row r="690" spans="1:11" s="3" customFormat="1" ht="14.5" x14ac:dyDescent="0.35">
      <c r="B690" s="40">
        <v>9</v>
      </c>
      <c r="C690" s="38" t="s">
        <v>26</v>
      </c>
      <c r="D690" s="25">
        <v>145564</v>
      </c>
      <c r="E690" s="25">
        <v>0</v>
      </c>
      <c r="F690" s="47">
        <f t="shared" ref="F690:F709" si="35">+E690+D690</f>
        <v>145564</v>
      </c>
      <c r="G690" s="74">
        <f t="shared" ref="G690:G709" si="36">+G689+F690</f>
        <v>745996.2</v>
      </c>
      <c r="H690" s="71"/>
      <c r="I690" s="42"/>
      <c r="J690" s="42"/>
    </row>
    <row r="691" spans="1:11" s="3" customFormat="1" ht="14.5" x14ac:dyDescent="0.35">
      <c r="B691" s="40">
        <v>10</v>
      </c>
      <c r="C691" s="38" t="s">
        <v>62</v>
      </c>
      <c r="D691" s="25">
        <v>153212.01999999999</v>
      </c>
      <c r="E691" s="25">
        <v>0</v>
      </c>
      <c r="F691" s="47">
        <f t="shared" si="35"/>
        <v>153212.01999999999</v>
      </c>
      <c r="G691" s="74">
        <f t="shared" si="36"/>
        <v>899208.22</v>
      </c>
      <c r="H691" s="71"/>
      <c r="I691" s="42"/>
      <c r="J691" s="42"/>
    </row>
    <row r="692" spans="1:11" s="3" customFormat="1" ht="14.5" x14ac:dyDescent="0.35">
      <c r="B692" s="40">
        <v>11</v>
      </c>
      <c r="C692" s="38" t="s">
        <v>63</v>
      </c>
      <c r="D692" s="25">
        <v>51524</v>
      </c>
      <c r="E692" s="25">
        <v>0</v>
      </c>
      <c r="F692" s="47">
        <f t="shared" si="35"/>
        <v>51524</v>
      </c>
      <c r="G692" s="74">
        <f>+G691+F692</f>
        <v>950732.22</v>
      </c>
      <c r="H692" s="71"/>
      <c r="I692" s="42"/>
      <c r="J692" s="42"/>
    </row>
    <row r="693" spans="1:11" s="3" customFormat="1" ht="14.5" x14ac:dyDescent="0.35">
      <c r="B693" s="40">
        <v>12</v>
      </c>
      <c r="C693" s="38" t="s">
        <v>78</v>
      </c>
      <c r="D693" s="25">
        <v>163599.54</v>
      </c>
      <c r="E693" s="25">
        <v>0</v>
      </c>
      <c r="F693" s="47">
        <f t="shared" si="35"/>
        <v>163599.54</v>
      </c>
      <c r="G693" s="74">
        <f t="shared" si="36"/>
        <v>1114331.76</v>
      </c>
      <c r="H693" s="71"/>
      <c r="I693" s="42"/>
      <c r="J693" s="42"/>
    </row>
    <row r="694" spans="1:11" s="3" customFormat="1" ht="14.5" x14ac:dyDescent="0.35">
      <c r="B694" s="40">
        <v>13</v>
      </c>
      <c r="C694" s="38" t="s">
        <v>64</v>
      </c>
      <c r="D694" s="25">
        <v>99917.55</v>
      </c>
      <c r="E694" s="25">
        <v>0</v>
      </c>
      <c r="F694" s="47">
        <f t="shared" si="35"/>
        <v>99917.55</v>
      </c>
      <c r="G694" s="74">
        <f t="shared" si="36"/>
        <v>1214249.31</v>
      </c>
      <c r="H694" s="71"/>
      <c r="I694" s="42"/>
      <c r="J694" s="42"/>
    </row>
    <row r="695" spans="1:11" s="3" customFormat="1" ht="18" customHeight="1" x14ac:dyDescent="0.35">
      <c r="B695" s="40">
        <v>14</v>
      </c>
      <c r="C695" s="58" t="s">
        <v>65</v>
      </c>
      <c r="D695" s="25">
        <v>7466.5</v>
      </c>
      <c r="E695" s="25">
        <v>0</v>
      </c>
      <c r="F695" s="47">
        <f t="shared" si="35"/>
        <v>7466.5</v>
      </c>
      <c r="G695" s="74">
        <f t="shared" si="36"/>
        <v>1221715.81</v>
      </c>
      <c r="H695" s="71"/>
      <c r="I695" s="42"/>
      <c r="J695" s="42"/>
    </row>
    <row r="696" spans="1:11" s="3" customFormat="1" ht="14.5" x14ac:dyDescent="0.35">
      <c r="B696" s="40">
        <v>15</v>
      </c>
      <c r="C696" s="38" t="s">
        <v>66</v>
      </c>
      <c r="D696" s="25">
        <v>98486</v>
      </c>
      <c r="E696" s="25">
        <v>0</v>
      </c>
      <c r="F696" s="47">
        <f t="shared" si="35"/>
        <v>98486</v>
      </c>
      <c r="G696" s="74">
        <f t="shared" si="36"/>
        <v>1320201.81</v>
      </c>
      <c r="H696" s="71"/>
      <c r="I696" s="42"/>
      <c r="J696" s="42"/>
    </row>
    <row r="697" spans="1:11" s="3" customFormat="1" ht="14.5" x14ac:dyDescent="0.35">
      <c r="B697" s="40">
        <v>16</v>
      </c>
      <c r="C697" s="38" t="s">
        <v>67</v>
      </c>
      <c r="D697" s="25">
        <v>25932.5</v>
      </c>
      <c r="E697" s="25">
        <v>0</v>
      </c>
      <c r="F697" s="47">
        <f t="shared" si="35"/>
        <v>25932.5</v>
      </c>
      <c r="G697" s="74">
        <f t="shared" si="36"/>
        <v>1346134.31</v>
      </c>
      <c r="H697" s="71"/>
      <c r="I697" s="42"/>
      <c r="J697" s="42"/>
    </row>
    <row r="698" spans="1:11" s="3" customFormat="1" ht="14.5" x14ac:dyDescent="0.35">
      <c r="B698" s="40">
        <v>17</v>
      </c>
      <c r="C698" s="38" t="s">
        <v>68</v>
      </c>
      <c r="D698" s="25">
        <v>102848</v>
      </c>
      <c r="E698" s="25">
        <v>0</v>
      </c>
      <c r="F698" s="47">
        <f t="shared" si="35"/>
        <v>102848</v>
      </c>
      <c r="G698" s="74">
        <f t="shared" si="36"/>
        <v>1448982.31</v>
      </c>
      <c r="H698" s="71"/>
      <c r="I698" s="42"/>
      <c r="J698" s="42"/>
    </row>
    <row r="699" spans="1:11" s="3" customFormat="1" ht="14.5" x14ac:dyDescent="0.35">
      <c r="B699" s="40">
        <v>18</v>
      </c>
      <c r="C699" s="38" t="s">
        <v>69</v>
      </c>
      <c r="D699" s="25">
        <v>74591</v>
      </c>
      <c r="E699" s="25">
        <v>0</v>
      </c>
      <c r="F699" s="47">
        <f t="shared" si="35"/>
        <v>74591</v>
      </c>
      <c r="G699" s="74">
        <f t="shared" si="36"/>
        <v>1523573.31</v>
      </c>
      <c r="H699" s="71"/>
      <c r="I699" s="42"/>
      <c r="J699" s="42"/>
    </row>
    <row r="700" spans="1:11" s="3" customFormat="1" ht="14.5" x14ac:dyDescent="0.35">
      <c r="B700" s="40">
        <v>19</v>
      </c>
      <c r="C700" s="38" t="s">
        <v>70</v>
      </c>
      <c r="D700" s="25">
        <v>95211.5</v>
      </c>
      <c r="E700" s="25">
        <v>0</v>
      </c>
      <c r="F700" s="47">
        <f t="shared" si="35"/>
        <v>95211.5</v>
      </c>
      <c r="G700" s="74">
        <f t="shared" si="36"/>
        <v>1618784.81</v>
      </c>
      <c r="H700" s="71"/>
      <c r="I700" s="42"/>
      <c r="J700" s="42"/>
    </row>
    <row r="701" spans="1:11" s="3" customFormat="1" ht="14.5" x14ac:dyDescent="0.35">
      <c r="B701" s="40">
        <v>20</v>
      </c>
      <c r="C701" s="38" t="s">
        <v>71</v>
      </c>
      <c r="D701" s="25">
        <v>17880.5</v>
      </c>
      <c r="E701" s="25">
        <v>10850</v>
      </c>
      <c r="F701" s="47">
        <f t="shared" si="35"/>
        <v>28730.5</v>
      </c>
      <c r="G701" s="74">
        <f t="shared" si="36"/>
        <v>1647515.31</v>
      </c>
      <c r="H701" s="71"/>
      <c r="I701" s="42"/>
      <c r="J701" s="42"/>
    </row>
    <row r="702" spans="1:11" s="3" customFormat="1" ht="14.5" x14ac:dyDescent="0.35">
      <c r="B702" s="40">
        <v>21</v>
      </c>
      <c r="C702" s="38" t="s">
        <v>72</v>
      </c>
      <c r="D702" s="25">
        <v>121169.5</v>
      </c>
      <c r="E702" s="25">
        <v>0</v>
      </c>
      <c r="F702" s="47">
        <f t="shared" si="35"/>
        <v>121169.5</v>
      </c>
      <c r="G702" s="74">
        <f t="shared" si="36"/>
        <v>1768684.81</v>
      </c>
      <c r="H702" s="71"/>
      <c r="I702" s="42"/>
      <c r="J702" s="42"/>
    </row>
    <row r="703" spans="1:11" s="3" customFormat="1" ht="14.5" x14ac:dyDescent="0.35">
      <c r="B703" s="40">
        <v>22</v>
      </c>
      <c r="C703" s="38" t="s">
        <v>73</v>
      </c>
      <c r="D703" s="25">
        <v>76146</v>
      </c>
      <c r="E703" s="25">
        <v>0</v>
      </c>
      <c r="F703" s="47">
        <f t="shared" si="35"/>
        <v>76146</v>
      </c>
      <c r="G703" s="74">
        <f t="shared" si="36"/>
        <v>1844830.81</v>
      </c>
      <c r="H703" s="71"/>
      <c r="I703" s="42"/>
      <c r="J703" s="42"/>
    </row>
    <row r="704" spans="1:11" s="3" customFormat="1" ht="14.5" x14ac:dyDescent="0.35">
      <c r="B704" s="40">
        <v>23</v>
      </c>
      <c r="C704" s="38" t="s">
        <v>74</v>
      </c>
      <c r="D704" s="25">
        <v>72425</v>
      </c>
      <c r="E704" s="25">
        <v>0</v>
      </c>
      <c r="F704" s="47">
        <f t="shared" si="35"/>
        <v>72425</v>
      </c>
      <c r="G704" s="74">
        <f t="shared" si="36"/>
        <v>1917255.81</v>
      </c>
      <c r="H704" s="71"/>
      <c r="I704" s="42"/>
      <c r="J704" s="42"/>
    </row>
    <row r="705" spans="1:10" s="3" customFormat="1" ht="14.5" x14ac:dyDescent="0.35">
      <c r="B705" s="40">
        <v>24</v>
      </c>
      <c r="C705" s="38" t="s">
        <v>75</v>
      </c>
      <c r="D705" s="25">
        <v>1090</v>
      </c>
      <c r="E705" s="25">
        <v>0</v>
      </c>
      <c r="F705" s="47">
        <f t="shared" si="35"/>
        <v>1090</v>
      </c>
      <c r="G705" s="74">
        <f t="shared" si="36"/>
        <v>1918345.81</v>
      </c>
      <c r="H705" s="71"/>
      <c r="I705" s="42"/>
      <c r="J705" s="42"/>
    </row>
    <row r="706" spans="1:10" s="3" customFormat="1" ht="14.5" x14ac:dyDescent="0.35">
      <c r="B706" s="40">
        <v>25</v>
      </c>
      <c r="C706" s="77" t="s">
        <v>76</v>
      </c>
      <c r="D706" s="25">
        <v>29916</v>
      </c>
      <c r="E706" s="25">
        <v>0</v>
      </c>
      <c r="F706" s="47">
        <f t="shared" si="35"/>
        <v>29916</v>
      </c>
      <c r="G706" s="74">
        <f t="shared" si="36"/>
        <v>1948261.81</v>
      </c>
      <c r="H706" s="71"/>
      <c r="I706" s="42"/>
      <c r="J706" s="42"/>
    </row>
    <row r="707" spans="1:10" s="3" customFormat="1" ht="14.5" x14ac:dyDescent="0.35">
      <c r="B707" s="40">
        <v>26</v>
      </c>
      <c r="C707" s="77" t="s">
        <v>77</v>
      </c>
      <c r="D707" s="105">
        <v>0</v>
      </c>
      <c r="E707" s="106">
        <v>0</v>
      </c>
      <c r="F707" s="107">
        <f t="shared" si="35"/>
        <v>0</v>
      </c>
      <c r="G707" s="113">
        <f t="shared" si="36"/>
        <v>1948261.81</v>
      </c>
      <c r="H707" s="71"/>
      <c r="I707" s="42"/>
      <c r="J707" s="42"/>
    </row>
    <row r="708" spans="1:10" s="3" customFormat="1" ht="14.5" x14ac:dyDescent="0.35">
      <c r="B708" s="40">
        <v>27</v>
      </c>
      <c r="C708" s="38" t="s">
        <v>81</v>
      </c>
      <c r="D708" s="20">
        <v>0</v>
      </c>
      <c r="E708" s="20">
        <v>0</v>
      </c>
      <c r="F708" s="43">
        <f t="shared" si="35"/>
        <v>0</v>
      </c>
      <c r="G708" s="94">
        <f t="shared" si="36"/>
        <v>1948261.81</v>
      </c>
      <c r="H708" s="71"/>
      <c r="I708" s="42"/>
      <c r="J708" s="42"/>
    </row>
    <row r="709" spans="1:10" s="3" customFormat="1" ht="13.25" customHeight="1" x14ac:dyDescent="0.35">
      <c r="B709" s="40">
        <v>28</v>
      </c>
      <c r="C709" s="77" t="s">
        <v>87</v>
      </c>
      <c r="D709" s="25">
        <v>7074</v>
      </c>
      <c r="E709" s="25">
        <v>0</v>
      </c>
      <c r="F709" s="47">
        <f t="shared" si="35"/>
        <v>7074</v>
      </c>
      <c r="G709" s="76">
        <f t="shared" si="36"/>
        <v>1955335.81</v>
      </c>
      <c r="H709" s="71"/>
      <c r="I709" s="42"/>
      <c r="J709" s="42"/>
    </row>
    <row r="710" spans="1:10" ht="14.5" x14ac:dyDescent="0.35">
      <c r="A710" s="3"/>
      <c r="B710" s="5" t="s">
        <v>52</v>
      </c>
      <c r="C710" s="78" t="s">
        <v>52</v>
      </c>
      <c r="D710" s="79" t="s">
        <v>52</v>
      </c>
      <c r="E710" s="79" t="s">
        <v>52</v>
      </c>
      <c r="F710" s="79" t="s">
        <v>52</v>
      </c>
      <c r="G710" s="79" t="s">
        <v>52</v>
      </c>
      <c r="H710" s="6" t="s">
        <v>52</v>
      </c>
      <c r="I710" s="3"/>
    </row>
    <row r="711" spans="1:10" ht="14.5" x14ac:dyDescent="0.35">
      <c r="A711" s="3"/>
      <c r="B711" s="8" t="s">
        <v>34</v>
      </c>
      <c r="C711" s="80"/>
      <c r="D711" s="79" t="s">
        <v>52</v>
      </c>
      <c r="E711" s="79" t="s">
        <v>52</v>
      </c>
      <c r="F711" s="79" t="s">
        <v>52</v>
      </c>
      <c r="G711" s="79" t="s">
        <v>52</v>
      </c>
      <c r="H711" s="6" t="s">
        <v>52</v>
      </c>
      <c r="I711" s="3"/>
    </row>
    <row r="712" spans="1:10" ht="14.5" x14ac:dyDescent="0.35">
      <c r="A712" s="3"/>
      <c r="B712" s="9" t="s">
        <v>35</v>
      </c>
      <c r="C712" s="5"/>
      <c r="D712" s="6"/>
      <c r="E712" s="6"/>
      <c r="F712" s="81"/>
      <c r="G712" s="81"/>
      <c r="H712" s="82"/>
      <c r="I712" s="3"/>
    </row>
    <row r="713" spans="1:10" ht="14.5" x14ac:dyDescent="0.35">
      <c r="A713" s="3"/>
      <c r="B713" s="9" t="s">
        <v>36</v>
      </c>
      <c r="C713" s="5"/>
      <c r="D713" s="6"/>
      <c r="E713" s="6"/>
      <c r="F713" s="81"/>
      <c r="G713" s="79" t="s">
        <v>52</v>
      </c>
      <c r="H713" s="6" t="s">
        <v>52</v>
      </c>
      <c r="I713" s="3"/>
    </row>
    <row r="714" spans="1:10" ht="14.5" x14ac:dyDescent="0.35">
      <c r="A714" s="3"/>
      <c r="B714" s="9" t="s">
        <v>37</v>
      </c>
      <c r="C714" s="5"/>
      <c r="D714" s="6"/>
      <c r="E714" s="6"/>
      <c r="F714" s="79" t="s">
        <v>52</v>
      </c>
      <c r="G714" s="79" t="s">
        <v>52</v>
      </c>
      <c r="H714" s="6" t="s">
        <v>52</v>
      </c>
      <c r="I714" s="3"/>
    </row>
    <row r="715" spans="1:10" ht="14.5" x14ac:dyDescent="0.35">
      <c r="A715" s="3"/>
      <c r="B715" s="10"/>
      <c r="C715" s="83"/>
      <c r="D715" s="85"/>
      <c r="E715" s="85"/>
      <c r="F715" s="85"/>
      <c r="H715" s="42"/>
      <c r="I715" s="3"/>
    </row>
    <row r="716" spans="1:10" ht="14.5" x14ac:dyDescent="0.35">
      <c r="A716" s="3"/>
      <c r="B716" s="10"/>
      <c r="C716" s="83"/>
      <c r="D716" s="85"/>
      <c r="E716" s="85"/>
      <c r="G716" s="85"/>
      <c r="H716" s="42"/>
      <c r="I716" s="3"/>
    </row>
    <row r="717" spans="1:10" ht="18.5" x14ac:dyDescent="0.45">
      <c r="A717" s="3"/>
      <c r="C717" s="83"/>
      <c r="D717" s="193" t="s">
        <v>40</v>
      </c>
      <c r="E717" s="193"/>
      <c r="F717" s="193"/>
      <c r="G717" s="193"/>
      <c r="H717" s="193"/>
      <c r="I717" s="3"/>
    </row>
    <row r="718" spans="1:10" ht="16" x14ac:dyDescent="0.4">
      <c r="A718" s="35"/>
      <c r="B718" s="26" t="s">
        <v>52</v>
      </c>
      <c r="C718" s="84" t="s">
        <v>52</v>
      </c>
      <c r="D718" s="194" t="s">
        <v>61</v>
      </c>
      <c r="E718" s="194"/>
      <c r="F718" s="194"/>
      <c r="G718" s="194"/>
      <c r="H718" s="194"/>
      <c r="I718" s="35"/>
    </row>
    <row r="719" spans="1:10" ht="15.9" customHeight="1" x14ac:dyDescent="0.4">
      <c r="A719" s="3"/>
      <c r="B719" s="128" t="s">
        <v>88</v>
      </c>
      <c r="C719" s="128"/>
      <c r="D719" s="128"/>
      <c r="E719" s="128"/>
      <c r="F719" s="128"/>
      <c r="G719" s="128"/>
      <c r="H719" s="128"/>
      <c r="I719" s="3"/>
    </row>
    <row r="720" spans="1:10" ht="14.5" x14ac:dyDescent="0.35">
      <c r="A720" s="3"/>
      <c r="B720" s="14"/>
      <c r="C720" s="15"/>
      <c r="D720" s="142" t="s">
        <v>6</v>
      </c>
      <c r="E720" s="143"/>
      <c r="F720" s="143"/>
      <c r="G720" s="190"/>
      <c r="H720" s="191" t="s">
        <v>52</v>
      </c>
      <c r="I720" s="3"/>
    </row>
    <row r="721" spans="1:11" ht="14.5" x14ac:dyDescent="0.35">
      <c r="A721" s="3"/>
      <c r="B721" s="12"/>
      <c r="C721" s="13"/>
      <c r="D721" s="145" t="s">
        <v>9</v>
      </c>
      <c r="E721" s="146"/>
      <c r="F721" s="146"/>
      <c r="G721" s="192"/>
      <c r="H721" s="191"/>
      <c r="I721" s="3"/>
    </row>
    <row r="722" spans="1:11" ht="14.5" x14ac:dyDescent="0.35">
      <c r="A722" s="3"/>
      <c r="B722" s="133" t="s">
        <v>10</v>
      </c>
      <c r="C722" s="135" t="s">
        <v>11</v>
      </c>
      <c r="D722" s="51" t="s">
        <v>12</v>
      </c>
      <c r="E722" s="51" t="s">
        <v>13</v>
      </c>
      <c r="F722" s="51" t="s">
        <v>14</v>
      </c>
      <c r="G722" s="66" t="s">
        <v>15</v>
      </c>
      <c r="H722" s="186" t="s">
        <v>52</v>
      </c>
      <c r="I722" s="3"/>
    </row>
    <row r="723" spans="1:11" ht="14.5" x14ac:dyDescent="0.35">
      <c r="A723" s="3"/>
      <c r="B723" s="134"/>
      <c r="C723" s="136"/>
      <c r="D723" s="154" t="s">
        <v>20</v>
      </c>
      <c r="E723" s="155"/>
      <c r="F723" s="155"/>
      <c r="G723" s="187"/>
      <c r="H723" s="186"/>
      <c r="I723" s="3"/>
    </row>
    <row r="724" spans="1:11" ht="14.5" x14ac:dyDescent="0.35">
      <c r="A724" s="3"/>
      <c r="B724" s="40">
        <v>4</v>
      </c>
      <c r="C724" s="67" t="s">
        <v>21</v>
      </c>
      <c r="D724" s="25">
        <v>0</v>
      </c>
      <c r="E724" s="25">
        <v>0</v>
      </c>
      <c r="F724" s="25">
        <v>0</v>
      </c>
      <c r="G724" s="25">
        <v>0</v>
      </c>
      <c r="H724" s="71" t="s">
        <v>52</v>
      </c>
      <c r="I724" s="3"/>
    </row>
    <row r="725" spans="1:11" ht="14.5" x14ac:dyDescent="0.35">
      <c r="A725" s="3"/>
      <c r="B725" s="72">
        <v>5</v>
      </c>
      <c r="C725" s="73" t="s">
        <v>22</v>
      </c>
      <c r="D725" s="25">
        <v>0</v>
      </c>
      <c r="E725" s="25">
        <v>0</v>
      </c>
      <c r="F725" s="25">
        <v>0</v>
      </c>
      <c r="G725" s="25">
        <v>0</v>
      </c>
      <c r="H725" s="71" t="s">
        <v>52</v>
      </c>
      <c r="I725" s="3"/>
    </row>
    <row r="726" spans="1:11" ht="14.5" x14ac:dyDescent="0.35">
      <c r="A726" s="3"/>
      <c r="B726" s="72">
        <v>6</v>
      </c>
      <c r="C726" s="73" t="s">
        <v>23</v>
      </c>
      <c r="D726" s="25">
        <v>0</v>
      </c>
      <c r="E726" s="25">
        <v>0</v>
      </c>
      <c r="F726" s="25">
        <v>0</v>
      </c>
      <c r="G726" s="25">
        <v>0</v>
      </c>
      <c r="H726" s="71" t="s">
        <v>52</v>
      </c>
      <c r="I726" s="3"/>
    </row>
    <row r="727" spans="1:11" ht="14.5" x14ac:dyDescent="0.35">
      <c r="A727" s="3"/>
      <c r="B727" s="72">
        <v>7</v>
      </c>
      <c r="C727" s="73" t="s">
        <v>24</v>
      </c>
      <c r="D727" s="25">
        <v>0</v>
      </c>
      <c r="E727" s="25">
        <v>0</v>
      </c>
      <c r="F727" s="25">
        <v>0</v>
      </c>
      <c r="G727" s="25">
        <v>0</v>
      </c>
      <c r="H727" s="71" t="s">
        <v>52</v>
      </c>
      <c r="I727" s="3"/>
    </row>
    <row r="728" spans="1:11" ht="14.5" x14ac:dyDescent="0.35">
      <c r="A728" s="3"/>
      <c r="B728" s="40">
        <v>8</v>
      </c>
      <c r="C728" s="38" t="s">
        <v>25</v>
      </c>
      <c r="D728" s="25">
        <v>0</v>
      </c>
      <c r="E728" s="25">
        <v>0</v>
      </c>
      <c r="F728" s="47">
        <f t="shared" ref="F728:F748" si="37">+E728+D728</f>
        <v>0</v>
      </c>
      <c r="G728" s="74">
        <f t="shared" ref="G728:G748" si="38">+G727+F728</f>
        <v>0</v>
      </c>
      <c r="H728" s="71"/>
      <c r="I728" s="10"/>
      <c r="J728" s="3"/>
      <c r="K728" s="3"/>
    </row>
    <row r="729" spans="1:11" s="3" customFormat="1" ht="14.5" x14ac:dyDescent="0.35">
      <c r="B729" s="40">
        <v>9</v>
      </c>
      <c r="C729" s="38" t="s">
        <v>26</v>
      </c>
      <c r="D729" s="25">
        <v>0</v>
      </c>
      <c r="E729" s="25">
        <v>0</v>
      </c>
      <c r="F729" s="47">
        <f t="shared" si="37"/>
        <v>0</v>
      </c>
      <c r="G729" s="74">
        <f t="shared" si="38"/>
        <v>0</v>
      </c>
      <c r="H729" s="71"/>
      <c r="I729" s="42"/>
      <c r="J729" s="42"/>
    </row>
    <row r="730" spans="1:11" s="3" customFormat="1" ht="14.5" x14ac:dyDescent="0.35">
      <c r="B730" s="40">
        <v>10</v>
      </c>
      <c r="C730" s="38" t="s">
        <v>62</v>
      </c>
      <c r="D730" s="25">
        <v>0</v>
      </c>
      <c r="E730" s="25">
        <v>0</v>
      </c>
      <c r="F730" s="47">
        <f t="shared" si="37"/>
        <v>0</v>
      </c>
      <c r="G730" s="74">
        <f t="shared" si="38"/>
        <v>0</v>
      </c>
      <c r="H730" s="71"/>
      <c r="I730" s="42"/>
      <c r="J730" s="42"/>
    </row>
    <row r="731" spans="1:11" s="3" customFormat="1" ht="14.5" x14ac:dyDescent="0.35">
      <c r="B731" s="40">
        <v>11</v>
      </c>
      <c r="C731" s="38" t="s">
        <v>63</v>
      </c>
      <c r="D731" s="25">
        <v>0</v>
      </c>
      <c r="E731" s="25">
        <v>0</v>
      </c>
      <c r="F731" s="47">
        <f t="shared" si="37"/>
        <v>0</v>
      </c>
      <c r="G731" s="74">
        <f>+G730+F731</f>
        <v>0</v>
      </c>
      <c r="H731" s="71"/>
      <c r="I731" s="42"/>
      <c r="J731" s="42"/>
    </row>
    <row r="732" spans="1:11" s="3" customFormat="1" ht="14.5" x14ac:dyDescent="0.35">
      <c r="B732" s="40">
        <v>12</v>
      </c>
      <c r="C732" s="38" t="s">
        <v>78</v>
      </c>
      <c r="D732" s="25">
        <v>0</v>
      </c>
      <c r="E732" s="25">
        <v>0</v>
      </c>
      <c r="F732" s="47">
        <f t="shared" si="37"/>
        <v>0</v>
      </c>
      <c r="G732" s="74">
        <f t="shared" si="38"/>
        <v>0</v>
      </c>
      <c r="H732" s="71"/>
      <c r="I732" s="42"/>
      <c r="J732" s="42"/>
    </row>
    <row r="733" spans="1:11" s="3" customFormat="1" ht="14.5" x14ac:dyDescent="0.35">
      <c r="B733" s="40">
        <v>13</v>
      </c>
      <c r="C733" s="38" t="s">
        <v>64</v>
      </c>
      <c r="D733" s="25">
        <v>0</v>
      </c>
      <c r="E733" s="25">
        <v>0</v>
      </c>
      <c r="F733" s="47">
        <f t="shared" si="37"/>
        <v>0</v>
      </c>
      <c r="G733" s="74">
        <f t="shared" si="38"/>
        <v>0</v>
      </c>
      <c r="H733" s="71"/>
      <c r="I733" s="42"/>
      <c r="J733" s="42"/>
    </row>
    <row r="734" spans="1:11" s="3" customFormat="1" ht="16.75" customHeight="1" x14ac:dyDescent="0.35">
      <c r="B734" s="40">
        <v>14</v>
      </c>
      <c r="C734" s="58" t="s">
        <v>65</v>
      </c>
      <c r="D734" s="25">
        <v>0</v>
      </c>
      <c r="E734" s="25">
        <v>0</v>
      </c>
      <c r="F734" s="47">
        <f t="shared" si="37"/>
        <v>0</v>
      </c>
      <c r="G734" s="74">
        <f t="shared" si="38"/>
        <v>0</v>
      </c>
      <c r="H734" s="71"/>
      <c r="I734" s="42"/>
      <c r="J734" s="42"/>
    </row>
    <row r="735" spans="1:11" s="3" customFormat="1" ht="14.5" x14ac:dyDescent="0.35">
      <c r="B735" s="40">
        <v>15</v>
      </c>
      <c r="C735" s="38" t="s">
        <v>66</v>
      </c>
      <c r="D735" s="25">
        <v>0</v>
      </c>
      <c r="E735" s="25">
        <v>0</v>
      </c>
      <c r="F735" s="47">
        <f t="shared" si="37"/>
        <v>0</v>
      </c>
      <c r="G735" s="74">
        <f t="shared" si="38"/>
        <v>0</v>
      </c>
      <c r="H735" s="71"/>
      <c r="I735" s="42"/>
      <c r="J735" s="42"/>
    </row>
    <row r="736" spans="1:11" s="3" customFormat="1" ht="14.5" x14ac:dyDescent="0.35">
      <c r="B736" s="40">
        <v>16</v>
      </c>
      <c r="C736" s="38" t="s">
        <v>67</v>
      </c>
      <c r="D736" s="25">
        <v>0</v>
      </c>
      <c r="E736" s="25">
        <v>0</v>
      </c>
      <c r="F736" s="47">
        <f t="shared" si="37"/>
        <v>0</v>
      </c>
      <c r="G736" s="74">
        <f t="shared" si="38"/>
        <v>0</v>
      </c>
      <c r="H736" s="71"/>
      <c r="I736" s="42"/>
      <c r="J736" s="42"/>
    </row>
    <row r="737" spans="1:10" s="3" customFormat="1" ht="14.5" x14ac:dyDescent="0.35">
      <c r="B737" s="40">
        <v>17</v>
      </c>
      <c r="C737" s="38" t="s">
        <v>68</v>
      </c>
      <c r="D737" s="25">
        <v>0</v>
      </c>
      <c r="E737" s="25">
        <v>0</v>
      </c>
      <c r="F737" s="47">
        <f t="shared" si="37"/>
        <v>0</v>
      </c>
      <c r="G737" s="74">
        <f t="shared" si="38"/>
        <v>0</v>
      </c>
      <c r="H737" s="71"/>
      <c r="I737" s="42"/>
      <c r="J737" s="42"/>
    </row>
    <row r="738" spans="1:10" s="3" customFormat="1" ht="14.5" x14ac:dyDescent="0.35">
      <c r="B738" s="40">
        <v>18</v>
      </c>
      <c r="C738" s="38" t="s">
        <v>69</v>
      </c>
      <c r="D738" s="25">
        <v>0</v>
      </c>
      <c r="E738" s="25">
        <v>0</v>
      </c>
      <c r="F738" s="47">
        <f t="shared" si="37"/>
        <v>0</v>
      </c>
      <c r="G738" s="74">
        <f t="shared" si="38"/>
        <v>0</v>
      </c>
      <c r="H738" s="71"/>
      <c r="I738" s="42"/>
      <c r="J738" s="42"/>
    </row>
    <row r="739" spans="1:10" s="3" customFormat="1" ht="14.5" x14ac:dyDescent="0.35">
      <c r="B739" s="40">
        <v>19</v>
      </c>
      <c r="C739" s="38" t="s">
        <v>70</v>
      </c>
      <c r="D739" s="25">
        <v>0</v>
      </c>
      <c r="E739" s="25">
        <v>0</v>
      </c>
      <c r="F739" s="47">
        <f t="shared" si="37"/>
        <v>0</v>
      </c>
      <c r="G739" s="74">
        <f t="shared" si="38"/>
        <v>0</v>
      </c>
      <c r="H739" s="71"/>
      <c r="I739" s="42"/>
      <c r="J739" s="42"/>
    </row>
    <row r="740" spans="1:10" s="3" customFormat="1" ht="14.5" x14ac:dyDescent="0.35">
      <c r="B740" s="40">
        <v>20</v>
      </c>
      <c r="C740" s="38" t="s">
        <v>71</v>
      </c>
      <c r="D740" s="25">
        <v>0</v>
      </c>
      <c r="E740" s="25">
        <v>0</v>
      </c>
      <c r="F740" s="47">
        <f t="shared" si="37"/>
        <v>0</v>
      </c>
      <c r="G740" s="74">
        <f t="shared" si="38"/>
        <v>0</v>
      </c>
      <c r="H740" s="71"/>
      <c r="I740" s="42"/>
      <c r="J740" s="42"/>
    </row>
    <row r="741" spans="1:10" s="3" customFormat="1" ht="14.5" x14ac:dyDescent="0.35">
      <c r="B741" s="40">
        <v>21</v>
      </c>
      <c r="C741" s="38" t="s">
        <v>72</v>
      </c>
      <c r="D741" s="25">
        <v>0</v>
      </c>
      <c r="E741" s="25">
        <v>0</v>
      </c>
      <c r="F741" s="47">
        <f t="shared" si="37"/>
        <v>0</v>
      </c>
      <c r="G741" s="74">
        <f t="shared" si="38"/>
        <v>0</v>
      </c>
      <c r="H741" s="71"/>
      <c r="I741" s="42"/>
      <c r="J741" s="42"/>
    </row>
    <row r="742" spans="1:10" s="3" customFormat="1" ht="14.5" x14ac:dyDescent="0.35">
      <c r="B742" s="40">
        <v>22</v>
      </c>
      <c r="C742" s="38" t="s">
        <v>73</v>
      </c>
      <c r="D742" s="25">
        <v>0</v>
      </c>
      <c r="E742" s="25">
        <v>0</v>
      </c>
      <c r="F742" s="47">
        <f t="shared" si="37"/>
        <v>0</v>
      </c>
      <c r="G742" s="74">
        <f t="shared" si="38"/>
        <v>0</v>
      </c>
      <c r="H742" s="71"/>
      <c r="I742" s="42"/>
      <c r="J742" s="42"/>
    </row>
    <row r="743" spans="1:10" s="3" customFormat="1" ht="14.5" x14ac:dyDescent="0.35">
      <c r="B743" s="40">
        <v>23</v>
      </c>
      <c r="C743" s="38" t="s">
        <v>74</v>
      </c>
      <c r="D743" s="25">
        <v>0</v>
      </c>
      <c r="E743" s="25">
        <v>0</v>
      </c>
      <c r="F743" s="47">
        <f t="shared" si="37"/>
        <v>0</v>
      </c>
      <c r="G743" s="74">
        <f t="shared" si="38"/>
        <v>0</v>
      </c>
      <c r="H743" s="71"/>
      <c r="I743" s="42"/>
      <c r="J743" s="42"/>
    </row>
    <row r="744" spans="1:10" s="3" customFormat="1" ht="14.5" x14ac:dyDescent="0.35">
      <c r="B744" s="40">
        <v>24</v>
      </c>
      <c r="C744" s="38" t="s">
        <v>75</v>
      </c>
      <c r="D744" s="25">
        <v>0</v>
      </c>
      <c r="E744" s="25">
        <v>0</v>
      </c>
      <c r="F744" s="47">
        <f t="shared" si="37"/>
        <v>0</v>
      </c>
      <c r="G744" s="74">
        <f t="shared" si="38"/>
        <v>0</v>
      </c>
      <c r="H744" s="71"/>
      <c r="I744" s="42"/>
      <c r="J744" s="42"/>
    </row>
    <row r="745" spans="1:10" s="3" customFormat="1" ht="14.5" x14ac:dyDescent="0.35">
      <c r="B745" s="40">
        <v>25</v>
      </c>
      <c r="C745" s="77" t="s">
        <v>76</v>
      </c>
      <c r="D745" s="25">
        <v>0</v>
      </c>
      <c r="E745" s="25">
        <v>0</v>
      </c>
      <c r="F745" s="47">
        <f t="shared" si="37"/>
        <v>0</v>
      </c>
      <c r="G745" s="74">
        <f t="shared" si="38"/>
        <v>0</v>
      </c>
      <c r="H745" s="71"/>
      <c r="I745" s="42"/>
      <c r="J745" s="42"/>
    </row>
    <row r="746" spans="1:10" s="3" customFormat="1" ht="14.5" x14ac:dyDescent="0.35">
      <c r="B746" s="40">
        <v>26</v>
      </c>
      <c r="C746" s="77" t="s">
        <v>77</v>
      </c>
      <c r="D746" s="105">
        <v>0</v>
      </c>
      <c r="E746" s="106">
        <v>0</v>
      </c>
      <c r="F746" s="107">
        <f t="shared" si="37"/>
        <v>0</v>
      </c>
      <c r="G746" s="113">
        <f t="shared" si="38"/>
        <v>0</v>
      </c>
      <c r="H746" s="71"/>
      <c r="I746" s="42"/>
      <c r="J746" s="42"/>
    </row>
    <row r="747" spans="1:10" s="3" customFormat="1" ht="14.5" x14ac:dyDescent="0.35">
      <c r="B747" s="40">
        <v>27</v>
      </c>
      <c r="C747" s="38" t="s">
        <v>81</v>
      </c>
      <c r="D747" s="20">
        <v>0</v>
      </c>
      <c r="E747" s="20">
        <v>0</v>
      </c>
      <c r="F747" s="43">
        <f t="shared" si="37"/>
        <v>0</v>
      </c>
      <c r="G747" s="94">
        <f t="shared" si="38"/>
        <v>0</v>
      </c>
      <c r="H747" s="71"/>
      <c r="I747" s="42"/>
      <c r="J747" s="42"/>
    </row>
    <row r="748" spans="1:10" s="3" customFormat="1" ht="13.25" customHeight="1" x14ac:dyDescent="0.35">
      <c r="B748" s="40">
        <v>28</v>
      </c>
      <c r="C748" s="77" t="s">
        <v>87</v>
      </c>
      <c r="D748" s="25">
        <v>0</v>
      </c>
      <c r="E748" s="25">
        <v>0</v>
      </c>
      <c r="F748" s="47">
        <f t="shared" si="37"/>
        <v>0</v>
      </c>
      <c r="G748" s="76">
        <f t="shared" si="38"/>
        <v>0</v>
      </c>
      <c r="H748" s="71"/>
      <c r="I748" s="42"/>
      <c r="J748" s="42"/>
    </row>
    <row r="749" spans="1:10" ht="13.5" customHeight="1" x14ac:dyDescent="0.35">
      <c r="A749" s="3"/>
      <c r="B749" s="5" t="s">
        <v>52</v>
      </c>
      <c r="C749" s="78" t="s">
        <v>52</v>
      </c>
      <c r="D749" s="79" t="s">
        <v>52</v>
      </c>
      <c r="E749" s="79"/>
      <c r="F749" s="79" t="s">
        <v>52</v>
      </c>
      <c r="G749" s="79" t="s">
        <v>52</v>
      </c>
      <c r="H749" s="6" t="s">
        <v>52</v>
      </c>
      <c r="I749" s="3"/>
    </row>
    <row r="750" spans="1:10" ht="14.5" x14ac:dyDescent="0.35">
      <c r="A750" s="3"/>
      <c r="B750" s="8" t="s">
        <v>34</v>
      </c>
      <c r="C750" s="80"/>
      <c r="D750" s="79" t="s">
        <v>52</v>
      </c>
      <c r="E750" s="79" t="s">
        <v>52</v>
      </c>
      <c r="F750" s="79" t="s">
        <v>52</v>
      </c>
      <c r="G750" s="79" t="s">
        <v>52</v>
      </c>
      <c r="H750" s="6" t="s">
        <v>52</v>
      </c>
      <c r="I750" s="3"/>
    </row>
    <row r="751" spans="1:10" ht="14.5" x14ac:dyDescent="0.35">
      <c r="A751" s="3"/>
      <c r="B751" s="9" t="s">
        <v>35</v>
      </c>
      <c r="C751" s="5"/>
      <c r="D751" s="6"/>
      <c r="E751" s="6"/>
      <c r="F751" s="81"/>
      <c r="G751" s="81"/>
      <c r="H751" s="82"/>
      <c r="I751" s="3"/>
    </row>
    <row r="752" spans="1:10" ht="14.5" x14ac:dyDescent="0.35">
      <c r="A752" s="3"/>
      <c r="B752" s="9" t="s">
        <v>36</v>
      </c>
      <c r="C752" s="5"/>
      <c r="D752" s="6"/>
      <c r="E752" s="6"/>
      <c r="F752" s="81"/>
      <c r="G752" s="79" t="s">
        <v>52</v>
      </c>
      <c r="H752" s="6" t="s">
        <v>52</v>
      </c>
      <c r="I752" s="3"/>
    </row>
    <row r="753" spans="1:11" ht="14.5" x14ac:dyDescent="0.35">
      <c r="A753" s="3"/>
      <c r="B753" s="9" t="s">
        <v>37</v>
      </c>
      <c r="C753" s="5"/>
      <c r="D753" s="6"/>
      <c r="E753" s="6"/>
      <c r="F753" s="79" t="s">
        <v>52</v>
      </c>
      <c r="G753" s="79" t="s">
        <v>52</v>
      </c>
      <c r="H753" s="6" t="s">
        <v>52</v>
      </c>
      <c r="I753" s="3"/>
    </row>
    <row r="754" spans="1:11" ht="14.5" x14ac:dyDescent="0.35">
      <c r="A754" s="3"/>
      <c r="B754" s="3"/>
      <c r="C754" s="63"/>
      <c r="D754" s="64"/>
      <c r="E754" s="64"/>
      <c r="F754" s="64"/>
      <c r="G754" s="64"/>
      <c r="H754" s="39"/>
      <c r="I754" s="3"/>
    </row>
    <row r="755" spans="1:11" ht="14.5" x14ac:dyDescent="0.35">
      <c r="A755" s="3"/>
      <c r="B755" s="3"/>
      <c r="C755" s="63"/>
      <c r="D755" s="64"/>
      <c r="E755" s="64"/>
      <c r="F755" s="64"/>
      <c r="G755" s="64"/>
      <c r="H755" s="39"/>
      <c r="I755" s="3"/>
    </row>
    <row r="756" spans="1:11" ht="18.5" x14ac:dyDescent="0.45">
      <c r="A756" s="3"/>
      <c r="C756" s="83"/>
      <c r="D756" s="188" t="s">
        <v>41</v>
      </c>
      <c r="E756" s="188"/>
      <c r="F756" s="188"/>
      <c r="G756" s="188"/>
      <c r="H756" s="188"/>
      <c r="I756" s="3"/>
    </row>
    <row r="757" spans="1:11" ht="16" x14ac:dyDescent="0.4">
      <c r="A757" s="35"/>
      <c r="B757" s="26" t="s">
        <v>52</v>
      </c>
      <c r="C757" s="84" t="s">
        <v>52</v>
      </c>
      <c r="D757" s="189" t="s">
        <v>61</v>
      </c>
      <c r="E757" s="189"/>
      <c r="F757" s="189"/>
      <c r="G757" s="189"/>
      <c r="H757" s="189"/>
      <c r="I757" s="35"/>
    </row>
    <row r="758" spans="1:11" ht="15.9" customHeight="1" x14ac:dyDescent="0.4">
      <c r="A758" s="3"/>
      <c r="B758" s="128" t="s">
        <v>88</v>
      </c>
      <c r="C758" s="128"/>
      <c r="D758" s="128"/>
      <c r="E758" s="128"/>
      <c r="F758" s="128"/>
      <c r="G758" s="128"/>
      <c r="H758" s="128"/>
      <c r="I758" s="3"/>
    </row>
    <row r="759" spans="1:11" ht="14.5" x14ac:dyDescent="0.35">
      <c r="A759" s="3"/>
      <c r="B759" s="14"/>
      <c r="C759" s="15"/>
      <c r="D759" s="142" t="s">
        <v>6</v>
      </c>
      <c r="E759" s="143"/>
      <c r="F759" s="143"/>
      <c r="G759" s="190"/>
      <c r="H759" s="191"/>
      <c r="I759" s="3"/>
    </row>
    <row r="760" spans="1:11" ht="14.5" x14ac:dyDescent="0.35">
      <c r="A760" s="3"/>
      <c r="B760" s="12"/>
      <c r="C760" s="13"/>
      <c r="D760" s="145" t="s">
        <v>9</v>
      </c>
      <c r="E760" s="146"/>
      <c r="F760" s="146"/>
      <c r="G760" s="192"/>
      <c r="H760" s="191"/>
      <c r="I760" s="3"/>
    </row>
    <row r="761" spans="1:11" ht="14.5" x14ac:dyDescent="0.35">
      <c r="A761" s="3"/>
      <c r="B761" s="133" t="s">
        <v>10</v>
      </c>
      <c r="C761" s="135" t="s">
        <v>11</v>
      </c>
      <c r="D761" s="51" t="s">
        <v>12</v>
      </c>
      <c r="E761" s="51" t="s">
        <v>13</v>
      </c>
      <c r="F761" s="51" t="s">
        <v>14</v>
      </c>
      <c r="G761" s="66" t="s">
        <v>15</v>
      </c>
      <c r="H761" s="186" t="s">
        <v>52</v>
      </c>
      <c r="I761" s="3"/>
    </row>
    <row r="762" spans="1:11" ht="14.5" x14ac:dyDescent="0.35">
      <c r="A762" s="3"/>
      <c r="B762" s="134"/>
      <c r="C762" s="136"/>
      <c r="D762" s="154" t="s">
        <v>20</v>
      </c>
      <c r="E762" s="155"/>
      <c r="F762" s="155"/>
      <c r="G762" s="187"/>
      <c r="H762" s="186"/>
      <c r="I762" s="3"/>
    </row>
    <row r="763" spans="1:11" ht="14.5" x14ac:dyDescent="0.35">
      <c r="A763" s="3"/>
      <c r="B763" s="40">
        <v>4</v>
      </c>
      <c r="C763" s="67" t="s">
        <v>21</v>
      </c>
      <c r="D763" s="25">
        <v>0</v>
      </c>
      <c r="E763" s="25">
        <v>0</v>
      </c>
      <c r="F763" s="25">
        <v>0</v>
      </c>
      <c r="G763" s="25">
        <v>0</v>
      </c>
      <c r="H763" s="71" t="s">
        <v>52</v>
      </c>
      <c r="I763" s="3"/>
    </row>
    <row r="764" spans="1:11" ht="14.5" x14ac:dyDescent="0.35">
      <c r="A764" s="3"/>
      <c r="B764" s="72">
        <v>5</v>
      </c>
      <c r="C764" s="73" t="s">
        <v>22</v>
      </c>
      <c r="D764" s="68">
        <v>22804.03</v>
      </c>
      <c r="E764" s="25">
        <v>0</v>
      </c>
      <c r="F764" s="69">
        <f>+E764+D764</f>
        <v>22804.03</v>
      </c>
      <c r="G764" s="70">
        <f>+F764</f>
        <v>22804.03</v>
      </c>
      <c r="H764" s="71" t="s">
        <v>52</v>
      </c>
      <c r="I764" s="3"/>
    </row>
    <row r="765" spans="1:11" ht="14.5" x14ac:dyDescent="0.35">
      <c r="A765" s="3"/>
      <c r="B765" s="72">
        <v>6</v>
      </c>
      <c r="C765" s="73" t="s">
        <v>23</v>
      </c>
      <c r="D765" s="68">
        <v>14028.02</v>
      </c>
      <c r="E765" s="25">
        <v>0</v>
      </c>
      <c r="F765" s="69">
        <f>+E765+D765</f>
        <v>14028.02</v>
      </c>
      <c r="G765" s="70">
        <f>+G764+F765</f>
        <v>36832.050000000003</v>
      </c>
      <c r="H765" s="71" t="s">
        <v>52</v>
      </c>
      <c r="I765" s="3"/>
    </row>
    <row r="766" spans="1:11" ht="14.5" x14ac:dyDescent="0.35">
      <c r="A766" s="3"/>
      <c r="B766" s="72">
        <v>7</v>
      </c>
      <c r="C766" s="73" t="s">
        <v>24</v>
      </c>
      <c r="D766" s="68">
        <v>29519.08</v>
      </c>
      <c r="E766" s="25">
        <v>0</v>
      </c>
      <c r="F766" s="69">
        <f>+E766+D766</f>
        <v>29519.08</v>
      </c>
      <c r="G766" s="70">
        <f>+G765+F766</f>
        <v>66351.13</v>
      </c>
      <c r="H766" s="71" t="s">
        <v>52</v>
      </c>
      <c r="I766" s="3"/>
    </row>
    <row r="767" spans="1:11" ht="14.5" x14ac:dyDescent="0.35">
      <c r="A767" s="3"/>
      <c r="B767" s="40">
        <v>8</v>
      </c>
      <c r="C767" s="38" t="s">
        <v>25</v>
      </c>
      <c r="D767" s="25">
        <v>24107</v>
      </c>
      <c r="E767" s="25">
        <v>0</v>
      </c>
      <c r="F767" s="69">
        <f>+E767+D767</f>
        <v>24107</v>
      </c>
      <c r="G767" s="74">
        <f>+G766+F767</f>
        <v>90458.13</v>
      </c>
      <c r="H767" s="71"/>
      <c r="I767" s="10"/>
      <c r="J767" s="3"/>
      <c r="K767" s="3"/>
    </row>
    <row r="768" spans="1:11" s="3" customFormat="1" ht="14.5" x14ac:dyDescent="0.35">
      <c r="B768" s="40">
        <v>9</v>
      </c>
      <c r="C768" s="38" t="s">
        <v>26</v>
      </c>
      <c r="D768" s="25">
        <v>2162.5100000000002</v>
      </c>
      <c r="E768" s="25">
        <v>0</v>
      </c>
      <c r="F768" s="47">
        <f t="shared" ref="F768:F787" si="39">+E768+D768</f>
        <v>2162.5100000000002</v>
      </c>
      <c r="G768" s="74">
        <f t="shared" ref="G768:G787" si="40">+G767+F768</f>
        <v>92620.64</v>
      </c>
      <c r="H768" s="71"/>
      <c r="I768" s="42"/>
      <c r="J768" s="42"/>
    </row>
    <row r="769" spans="2:10" s="3" customFormat="1" ht="14.5" x14ac:dyDescent="0.35">
      <c r="B769" s="40">
        <v>10</v>
      </c>
      <c r="C769" s="38" t="s">
        <v>62</v>
      </c>
      <c r="D769" s="25">
        <v>0</v>
      </c>
      <c r="E769" s="25">
        <v>0</v>
      </c>
      <c r="F769" s="47">
        <f t="shared" si="39"/>
        <v>0</v>
      </c>
      <c r="G769" s="74">
        <f t="shared" si="40"/>
        <v>92620.64</v>
      </c>
      <c r="H769" s="71"/>
      <c r="I769" s="42"/>
      <c r="J769" s="42"/>
    </row>
    <row r="770" spans="2:10" s="3" customFormat="1" ht="14.5" x14ac:dyDescent="0.35">
      <c r="B770" s="40">
        <v>11</v>
      </c>
      <c r="C770" s="38" t="s">
        <v>63</v>
      </c>
      <c r="D770" s="25">
        <v>9488.02</v>
      </c>
      <c r="E770" s="25">
        <v>0</v>
      </c>
      <c r="F770" s="47">
        <f t="shared" si="39"/>
        <v>9488.02</v>
      </c>
      <c r="G770" s="74">
        <f t="shared" si="40"/>
        <v>102108.66</v>
      </c>
      <c r="H770" s="71"/>
      <c r="I770" s="42"/>
      <c r="J770" s="42"/>
    </row>
    <row r="771" spans="2:10" s="3" customFormat="1" ht="14.5" x14ac:dyDescent="0.35">
      <c r="B771" s="40">
        <v>12</v>
      </c>
      <c r="C771" s="38" t="s">
        <v>78</v>
      </c>
      <c r="D771" s="25">
        <v>3777.51</v>
      </c>
      <c r="E771" s="25">
        <v>0</v>
      </c>
      <c r="F771" s="47">
        <f t="shared" si="39"/>
        <v>3777.51</v>
      </c>
      <c r="G771" s="74">
        <f t="shared" si="40"/>
        <v>105886.17</v>
      </c>
      <c r="H771" s="71"/>
      <c r="I771" s="42"/>
      <c r="J771" s="42"/>
    </row>
    <row r="772" spans="2:10" s="3" customFormat="1" ht="14.5" x14ac:dyDescent="0.35">
      <c r="B772" s="40">
        <v>13</v>
      </c>
      <c r="C772" s="38" t="s">
        <v>64</v>
      </c>
      <c r="D772" s="25">
        <v>0</v>
      </c>
      <c r="E772" s="25">
        <v>0</v>
      </c>
      <c r="F772" s="47">
        <f t="shared" si="39"/>
        <v>0</v>
      </c>
      <c r="G772" s="74">
        <f t="shared" si="40"/>
        <v>105886.17</v>
      </c>
      <c r="H772" s="71"/>
      <c r="I772" s="42"/>
      <c r="J772" s="42"/>
    </row>
    <row r="773" spans="2:10" s="3" customFormat="1" ht="15" customHeight="1" x14ac:dyDescent="0.35">
      <c r="B773" s="40">
        <v>14</v>
      </c>
      <c r="C773" s="58" t="s">
        <v>65</v>
      </c>
      <c r="D773" s="25">
        <v>0</v>
      </c>
      <c r="E773" s="25">
        <v>0</v>
      </c>
      <c r="F773" s="47">
        <f t="shared" si="39"/>
        <v>0</v>
      </c>
      <c r="G773" s="74">
        <f t="shared" si="40"/>
        <v>105886.17</v>
      </c>
      <c r="H773" s="71"/>
      <c r="I773" s="42"/>
      <c r="J773" s="42"/>
    </row>
    <row r="774" spans="2:10" s="3" customFormat="1" ht="14.5" x14ac:dyDescent="0.35">
      <c r="B774" s="40">
        <v>15</v>
      </c>
      <c r="C774" s="38" t="s">
        <v>66</v>
      </c>
      <c r="D774" s="25">
        <v>0</v>
      </c>
      <c r="E774" s="25">
        <v>0</v>
      </c>
      <c r="F774" s="47">
        <f t="shared" si="39"/>
        <v>0</v>
      </c>
      <c r="G774" s="74">
        <f t="shared" si="40"/>
        <v>105886.17</v>
      </c>
      <c r="H774" s="71"/>
      <c r="I774" s="42"/>
      <c r="J774" s="42"/>
    </row>
    <row r="775" spans="2:10" s="3" customFormat="1" ht="14.5" x14ac:dyDescent="0.35">
      <c r="B775" s="40">
        <v>16</v>
      </c>
      <c r="C775" s="38" t="s">
        <v>67</v>
      </c>
      <c r="D775" s="25">
        <v>0</v>
      </c>
      <c r="E775" s="25">
        <v>0</v>
      </c>
      <c r="F775" s="47">
        <f t="shared" si="39"/>
        <v>0</v>
      </c>
      <c r="G775" s="74">
        <f t="shared" si="40"/>
        <v>105886.17</v>
      </c>
      <c r="H775" s="71"/>
      <c r="I775" s="42"/>
      <c r="J775" s="42"/>
    </row>
    <row r="776" spans="2:10" s="3" customFormat="1" ht="14.5" x14ac:dyDescent="0.35">
      <c r="B776" s="40">
        <v>17</v>
      </c>
      <c r="C776" s="38" t="s">
        <v>68</v>
      </c>
      <c r="D776" s="25">
        <v>0</v>
      </c>
      <c r="E776" s="25">
        <v>0</v>
      </c>
      <c r="F776" s="47">
        <f t="shared" si="39"/>
        <v>0</v>
      </c>
      <c r="G776" s="74">
        <f t="shared" si="40"/>
        <v>105886.17</v>
      </c>
      <c r="H776" s="71"/>
      <c r="I776" s="42"/>
      <c r="J776" s="42"/>
    </row>
    <row r="777" spans="2:10" s="3" customFormat="1" ht="14.5" x14ac:dyDescent="0.35">
      <c r="B777" s="40">
        <v>18</v>
      </c>
      <c r="C777" s="38" t="s">
        <v>69</v>
      </c>
      <c r="D777" s="25">
        <v>0</v>
      </c>
      <c r="E777" s="25">
        <v>0</v>
      </c>
      <c r="F777" s="47">
        <f t="shared" si="39"/>
        <v>0</v>
      </c>
      <c r="G777" s="74">
        <f t="shared" si="40"/>
        <v>105886.17</v>
      </c>
      <c r="H777" s="71"/>
      <c r="I777" s="42"/>
      <c r="J777" s="42"/>
    </row>
    <row r="778" spans="2:10" s="3" customFormat="1" ht="14.5" x14ac:dyDescent="0.35">
      <c r="B778" s="40">
        <v>19</v>
      </c>
      <c r="C778" s="38" t="s">
        <v>70</v>
      </c>
      <c r="D778" s="25">
        <v>0</v>
      </c>
      <c r="E778" s="25">
        <v>0</v>
      </c>
      <c r="F778" s="47">
        <f t="shared" si="39"/>
        <v>0</v>
      </c>
      <c r="G778" s="74">
        <f t="shared" si="40"/>
        <v>105886.17</v>
      </c>
      <c r="H778" s="71"/>
      <c r="I778" s="42"/>
      <c r="J778" s="42"/>
    </row>
    <row r="779" spans="2:10" s="3" customFormat="1" ht="14.5" x14ac:dyDescent="0.35">
      <c r="B779" s="40">
        <v>20</v>
      </c>
      <c r="C779" s="38" t="s">
        <v>71</v>
      </c>
      <c r="D779" s="25">
        <v>0</v>
      </c>
      <c r="E779" s="25">
        <v>0</v>
      </c>
      <c r="F779" s="47">
        <f t="shared" si="39"/>
        <v>0</v>
      </c>
      <c r="G779" s="74">
        <f t="shared" si="40"/>
        <v>105886.17</v>
      </c>
      <c r="H779" s="71"/>
      <c r="I779" s="42"/>
      <c r="J779" s="42"/>
    </row>
    <row r="780" spans="2:10" s="3" customFormat="1" ht="14.5" x14ac:dyDescent="0.35">
      <c r="B780" s="40">
        <v>21</v>
      </c>
      <c r="C780" s="38" t="s">
        <v>72</v>
      </c>
      <c r="D780" s="25">
        <v>0</v>
      </c>
      <c r="E780" s="25">
        <v>0</v>
      </c>
      <c r="F780" s="47">
        <f t="shared" si="39"/>
        <v>0</v>
      </c>
      <c r="G780" s="74">
        <f t="shared" si="40"/>
        <v>105886.17</v>
      </c>
      <c r="H780" s="71"/>
      <c r="I780" s="42"/>
      <c r="J780" s="42"/>
    </row>
    <row r="781" spans="2:10" s="3" customFormat="1" ht="14.5" x14ac:dyDescent="0.35">
      <c r="B781" s="40">
        <v>22</v>
      </c>
      <c r="C781" s="38" t="s">
        <v>73</v>
      </c>
      <c r="D781" s="25">
        <v>0</v>
      </c>
      <c r="E781" s="25">
        <v>0</v>
      </c>
      <c r="F781" s="47">
        <f t="shared" si="39"/>
        <v>0</v>
      </c>
      <c r="G781" s="74">
        <f t="shared" si="40"/>
        <v>105886.17</v>
      </c>
      <c r="H781" s="71"/>
      <c r="I781" s="42"/>
      <c r="J781" s="42"/>
    </row>
    <row r="782" spans="2:10" s="3" customFormat="1" ht="14.5" x14ac:dyDescent="0.35">
      <c r="B782" s="40">
        <v>23</v>
      </c>
      <c r="C782" s="38" t="s">
        <v>74</v>
      </c>
      <c r="D782" s="25">
        <v>0</v>
      </c>
      <c r="E782" s="25">
        <v>0</v>
      </c>
      <c r="F782" s="47">
        <f t="shared" si="39"/>
        <v>0</v>
      </c>
      <c r="G782" s="74">
        <f t="shared" si="40"/>
        <v>105886.17</v>
      </c>
      <c r="H782" s="71"/>
      <c r="I782" s="42"/>
      <c r="J782" s="42"/>
    </row>
    <row r="783" spans="2:10" s="3" customFormat="1" ht="14.5" x14ac:dyDescent="0.35">
      <c r="B783" s="40">
        <v>24</v>
      </c>
      <c r="C783" s="38" t="s">
        <v>75</v>
      </c>
      <c r="D783" s="25">
        <v>0</v>
      </c>
      <c r="E783" s="25">
        <v>0</v>
      </c>
      <c r="F783" s="47">
        <f t="shared" si="39"/>
        <v>0</v>
      </c>
      <c r="G783" s="74">
        <f t="shared" si="40"/>
        <v>105886.17</v>
      </c>
      <c r="H783" s="71"/>
      <c r="I783" s="42"/>
      <c r="J783" s="42"/>
    </row>
    <row r="784" spans="2:10" s="3" customFormat="1" ht="14.5" x14ac:dyDescent="0.35">
      <c r="B784" s="40">
        <v>25</v>
      </c>
      <c r="C784" s="77" t="s">
        <v>76</v>
      </c>
      <c r="D784" s="25">
        <v>0</v>
      </c>
      <c r="E784" s="25">
        <v>0</v>
      </c>
      <c r="F784" s="47">
        <f t="shared" si="39"/>
        <v>0</v>
      </c>
      <c r="G784" s="74">
        <f t="shared" si="40"/>
        <v>105886.17</v>
      </c>
      <c r="H784" s="71"/>
      <c r="I784" s="42"/>
      <c r="J784" s="42"/>
    </row>
    <row r="785" spans="1:10" s="3" customFormat="1" ht="14.5" x14ac:dyDescent="0.35">
      <c r="B785" s="40">
        <v>26</v>
      </c>
      <c r="C785" s="77" t="s">
        <v>77</v>
      </c>
      <c r="D785" s="105">
        <v>0</v>
      </c>
      <c r="E785" s="106">
        <v>0</v>
      </c>
      <c r="F785" s="107">
        <f t="shared" si="39"/>
        <v>0</v>
      </c>
      <c r="G785" s="113">
        <f t="shared" si="40"/>
        <v>105886.17</v>
      </c>
      <c r="H785" s="71"/>
      <c r="I785" s="42"/>
      <c r="J785" s="42"/>
    </row>
    <row r="786" spans="1:10" s="3" customFormat="1" ht="14.5" x14ac:dyDescent="0.35">
      <c r="B786" s="40">
        <v>27</v>
      </c>
      <c r="C786" s="38" t="s">
        <v>81</v>
      </c>
      <c r="D786" s="20">
        <v>0</v>
      </c>
      <c r="E786" s="20">
        <v>0</v>
      </c>
      <c r="F786" s="43">
        <f t="shared" si="39"/>
        <v>0</v>
      </c>
      <c r="G786" s="94">
        <f t="shared" si="40"/>
        <v>105886.17</v>
      </c>
      <c r="H786" s="71"/>
      <c r="I786" s="42"/>
      <c r="J786" s="42"/>
    </row>
    <row r="787" spans="1:10" s="3" customFormat="1" ht="13.25" customHeight="1" x14ac:dyDescent="0.35">
      <c r="B787" s="40">
        <v>28</v>
      </c>
      <c r="C787" s="77" t="s">
        <v>87</v>
      </c>
      <c r="D787" s="25">
        <v>0</v>
      </c>
      <c r="E787" s="25">
        <v>0</v>
      </c>
      <c r="F787" s="47">
        <f t="shared" si="39"/>
        <v>0</v>
      </c>
      <c r="G787" s="76">
        <f t="shared" si="40"/>
        <v>105886.17</v>
      </c>
      <c r="H787" s="71"/>
      <c r="I787" s="42"/>
      <c r="J787" s="42"/>
    </row>
    <row r="788" spans="1:10" s="3" customFormat="1" ht="14.5" x14ac:dyDescent="0.35">
      <c r="B788" s="86"/>
      <c r="C788" s="87"/>
      <c r="D788" s="42"/>
      <c r="E788" s="42"/>
      <c r="F788" s="54"/>
      <c r="G788" s="42"/>
      <c r="H788" s="71"/>
      <c r="I788" s="42"/>
      <c r="J788" s="42"/>
    </row>
    <row r="789" spans="1:10" ht="14.5" x14ac:dyDescent="0.35">
      <c r="A789" s="3"/>
      <c r="B789" s="8" t="s">
        <v>34</v>
      </c>
      <c r="C789" s="80"/>
      <c r="D789" s="79" t="s">
        <v>52</v>
      </c>
      <c r="E789" s="79" t="s">
        <v>52</v>
      </c>
      <c r="F789" s="79" t="s">
        <v>52</v>
      </c>
      <c r="G789" s="79" t="s">
        <v>52</v>
      </c>
      <c r="H789" s="6" t="s">
        <v>52</v>
      </c>
      <c r="I789" s="3"/>
    </row>
    <row r="790" spans="1:10" ht="14.5" x14ac:dyDescent="0.35">
      <c r="A790" s="3"/>
      <c r="B790" s="9" t="s">
        <v>35</v>
      </c>
      <c r="C790" s="5"/>
      <c r="D790" s="6"/>
      <c r="E790" s="6"/>
      <c r="F790" s="81"/>
      <c r="G790" s="81"/>
      <c r="H790" s="82"/>
      <c r="I790" s="3"/>
    </row>
    <row r="791" spans="1:10" ht="14.5" x14ac:dyDescent="0.35">
      <c r="A791" s="3"/>
      <c r="B791" s="9" t="s">
        <v>36</v>
      </c>
      <c r="C791" s="5"/>
      <c r="D791" s="6"/>
      <c r="E791" s="6"/>
      <c r="F791" s="81"/>
      <c r="G791" s="79" t="s">
        <v>52</v>
      </c>
      <c r="H791" s="6" t="s">
        <v>52</v>
      </c>
      <c r="I791" s="3"/>
    </row>
    <row r="792" spans="1:10" ht="14.5" x14ac:dyDescent="0.35">
      <c r="A792" s="3"/>
      <c r="B792" s="9" t="s">
        <v>37</v>
      </c>
      <c r="C792" s="5"/>
      <c r="D792" s="6"/>
      <c r="E792" s="6"/>
      <c r="F792" s="79" t="s">
        <v>52</v>
      </c>
      <c r="G792" s="79" t="s">
        <v>52</v>
      </c>
      <c r="H792" s="6" t="s">
        <v>52</v>
      </c>
      <c r="I792" s="3"/>
    </row>
  </sheetData>
  <mergeCells count="195">
    <mergeCell ref="D44:H44"/>
    <mergeCell ref="D45:H45"/>
    <mergeCell ref="B46:H46"/>
    <mergeCell ref="D47:G47"/>
    <mergeCell ref="H47:H48"/>
    <mergeCell ref="D48:G48"/>
    <mergeCell ref="D6:H6"/>
    <mergeCell ref="B7:H7"/>
    <mergeCell ref="D8:G8"/>
    <mergeCell ref="H8:H9"/>
    <mergeCell ref="D9:G9"/>
    <mergeCell ref="B10:B11"/>
    <mergeCell ref="C10:C11"/>
    <mergeCell ref="H10:H11"/>
    <mergeCell ref="D11:G11"/>
    <mergeCell ref="B85:H85"/>
    <mergeCell ref="D86:G86"/>
    <mergeCell ref="H86:H87"/>
    <mergeCell ref="D87:G87"/>
    <mergeCell ref="B88:B89"/>
    <mergeCell ref="C88:C89"/>
    <mergeCell ref="H88:H89"/>
    <mergeCell ref="D89:G89"/>
    <mergeCell ref="B49:B50"/>
    <mergeCell ref="C49:C50"/>
    <mergeCell ref="H49:H50"/>
    <mergeCell ref="D50:G50"/>
    <mergeCell ref="D83:H83"/>
    <mergeCell ref="D84:H84"/>
    <mergeCell ref="B128:B129"/>
    <mergeCell ref="C128:C129"/>
    <mergeCell ref="H128:H129"/>
    <mergeCell ref="D129:G129"/>
    <mergeCell ref="D165:H165"/>
    <mergeCell ref="B166:H166"/>
    <mergeCell ref="D123:H123"/>
    <mergeCell ref="D124:H124"/>
    <mergeCell ref="B125:H125"/>
    <mergeCell ref="D126:G126"/>
    <mergeCell ref="H126:H127"/>
    <mergeCell ref="D127:G127"/>
    <mergeCell ref="D203:H203"/>
    <mergeCell ref="D204:H204"/>
    <mergeCell ref="B205:H205"/>
    <mergeCell ref="D206:G206"/>
    <mergeCell ref="H206:H207"/>
    <mergeCell ref="D207:G207"/>
    <mergeCell ref="D167:G167"/>
    <mergeCell ref="H167:H168"/>
    <mergeCell ref="D168:G168"/>
    <mergeCell ref="B169:B170"/>
    <mergeCell ref="C169:C170"/>
    <mergeCell ref="H169:H170"/>
    <mergeCell ref="D170:G170"/>
    <mergeCell ref="B244:H244"/>
    <mergeCell ref="D245:G245"/>
    <mergeCell ref="H245:H246"/>
    <mergeCell ref="D246:G246"/>
    <mergeCell ref="B247:B248"/>
    <mergeCell ref="C247:C248"/>
    <mergeCell ref="H247:H248"/>
    <mergeCell ref="D248:G248"/>
    <mergeCell ref="B208:B209"/>
    <mergeCell ref="C208:C209"/>
    <mergeCell ref="H208:H209"/>
    <mergeCell ref="D209:G209"/>
    <mergeCell ref="D242:H242"/>
    <mergeCell ref="D243:H243"/>
    <mergeCell ref="B286:B287"/>
    <mergeCell ref="C286:C287"/>
    <mergeCell ref="H286:H287"/>
    <mergeCell ref="D287:G287"/>
    <mergeCell ref="D322:H322"/>
    <mergeCell ref="B323:H323"/>
    <mergeCell ref="D281:H281"/>
    <mergeCell ref="D282:H282"/>
    <mergeCell ref="B283:H283"/>
    <mergeCell ref="D284:G284"/>
    <mergeCell ref="H284:H285"/>
    <mergeCell ref="D285:G285"/>
    <mergeCell ref="D360:H360"/>
    <mergeCell ref="D361:H361"/>
    <mergeCell ref="B362:H362"/>
    <mergeCell ref="D363:G363"/>
    <mergeCell ref="H363:H364"/>
    <mergeCell ref="D364:G364"/>
    <mergeCell ref="D324:G324"/>
    <mergeCell ref="H324:H325"/>
    <mergeCell ref="D325:G325"/>
    <mergeCell ref="B326:B327"/>
    <mergeCell ref="C326:C327"/>
    <mergeCell ref="H326:H327"/>
    <mergeCell ref="D327:G327"/>
    <mergeCell ref="B401:H401"/>
    <mergeCell ref="D402:G402"/>
    <mergeCell ref="H402:H403"/>
    <mergeCell ref="D403:G403"/>
    <mergeCell ref="B404:B405"/>
    <mergeCell ref="C404:C405"/>
    <mergeCell ref="H404:H405"/>
    <mergeCell ref="D405:G405"/>
    <mergeCell ref="B365:B366"/>
    <mergeCell ref="C365:C366"/>
    <mergeCell ref="H365:H366"/>
    <mergeCell ref="D366:G366"/>
    <mergeCell ref="D399:H399"/>
    <mergeCell ref="D400:H400"/>
    <mergeCell ref="B443:B444"/>
    <mergeCell ref="C443:C444"/>
    <mergeCell ref="H443:H444"/>
    <mergeCell ref="D444:G444"/>
    <mergeCell ref="D481:H481"/>
    <mergeCell ref="B482:H482"/>
    <mergeCell ref="D438:H438"/>
    <mergeCell ref="D439:H439"/>
    <mergeCell ref="B440:H440"/>
    <mergeCell ref="D441:G441"/>
    <mergeCell ref="H441:H442"/>
    <mergeCell ref="D442:G442"/>
    <mergeCell ref="D519:H519"/>
    <mergeCell ref="D520:H520"/>
    <mergeCell ref="B521:H521"/>
    <mergeCell ref="D522:G522"/>
    <mergeCell ref="H522:H523"/>
    <mergeCell ref="D523:G523"/>
    <mergeCell ref="D483:G483"/>
    <mergeCell ref="H483:H484"/>
    <mergeCell ref="D484:G484"/>
    <mergeCell ref="B485:B486"/>
    <mergeCell ref="C485:C486"/>
    <mergeCell ref="H485:H486"/>
    <mergeCell ref="D486:G486"/>
    <mergeCell ref="B560:H560"/>
    <mergeCell ref="D561:G561"/>
    <mergeCell ref="H561:H562"/>
    <mergeCell ref="D562:G562"/>
    <mergeCell ref="B563:B564"/>
    <mergeCell ref="C563:C564"/>
    <mergeCell ref="H563:H564"/>
    <mergeCell ref="D564:G564"/>
    <mergeCell ref="B524:B525"/>
    <mergeCell ref="C524:C525"/>
    <mergeCell ref="H524:H525"/>
    <mergeCell ref="D525:G525"/>
    <mergeCell ref="D558:H558"/>
    <mergeCell ref="D559:H559"/>
    <mergeCell ref="B602:B603"/>
    <mergeCell ref="C602:C603"/>
    <mergeCell ref="H602:H603"/>
    <mergeCell ref="D603:G603"/>
    <mergeCell ref="D640:H640"/>
    <mergeCell ref="B641:H641"/>
    <mergeCell ref="D597:H597"/>
    <mergeCell ref="D598:H598"/>
    <mergeCell ref="B599:H599"/>
    <mergeCell ref="D600:G600"/>
    <mergeCell ref="H600:H601"/>
    <mergeCell ref="D601:G601"/>
    <mergeCell ref="D678:H678"/>
    <mergeCell ref="D679:H679"/>
    <mergeCell ref="B680:H680"/>
    <mergeCell ref="D681:G681"/>
    <mergeCell ref="H681:H682"/>
    <mergeCell ref="D682:G682"/>
    <mergeCell ref="D642:G642"/>
    <mergeCell ref="H642:H643"/>
    <mergeCell ref="D643:G643"/>
    <mergeCell ref="B644:B645"/>
    <mergeCell ref="C644:C645"/>
    <mergeCell ref="H644:H645"/>
    <mergeCell ref="D645:G645"/>
    <mergeCell ref="B719:H719"/>
    <mergeCell ref="D720:G720"/>
    <mergeCell ref="H720:H721"/>
    <mergeCell ref="D721:G721"/>
    <mergeCell ref="B722:B723"/>
    <mergeCell ref="C722:C723"/>
    <mergeCell ref="H722:H723"/>
    <mergeCell ref="D723:G723"/>
    <mergeCell ref="B683:B684"/>
    <mergeCell ref="C683:C684"/>
    <mergeCell ref="H683:H684"/>
    <mergeCell ref="D684:G684"/>
    <mergeCell ref="D717:H717"/>
    <mergeCell ref="D718:H718"/>
    <mergeCell ref="B761:B762"/>
    <mergeCell ref="C761:C762"/>
    <mergeCell ref="H761:H762"/>
    <mergeCell ref="D762:G762"/>
    <mergeCell ref="D756:H756"/>
    <mergeCell ref="D757:H757"/>
    <mergeCell ref="B758:H758"/>
    <mergeCell ref="D759:G759"/>
    <mergeCell ref="H759:H760"/>
    <mergeCell ref="D760:G76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211"/>
  <sheetViews>
    <sheetView tabSelected="1" zoomScale="70" zoomScaleNormal="70" workbookViewId="0">
      <selection activeCell="S3" sqref="S3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20.19921875" style="39" bestFit="1" customWidth="1"/>
    <col min="5" max="5" width="13" style="39" customWidth="1"/>
    <col min="6" max="6" width="14.8984375" style="39" customWidth="1"/>
    <col min="7" max="7" width="14.59765625" style="39" customWidth="1"/>
    <col min="8" max="9" width="13" style="39" customWidth="1"/>
    <col min="10" max="10" width="9" style="39"/>
    <col min="11" max="12" width="13" style="39" customWidth="1"/>
    <col min="13" max="13" width="21.8984375" style="3" customWidth="1"/>
    <col min="14" max="16" width="15.3984375" style="3" bestFit="1" customWidth="1"/>
    <col min="17" max="24" width="9" style="3"/>
    <col min="25" max="25" width="15.3984375" style="3" bestFit="1" customWidth="1"/>
    <col min="26" max="16384" width="9" style="3"/>
  </cols>
  <sheetData>
    <row r="3" spans="2:25" ht="48" customHeight="1" x14ac:dyDescent="0.4">
      <c r="B3" s="26"/>
      <c r="C3" s="26"/>
      <c r="D3" s="150" t="s">
        <v>5</v>
      </c>
      <c r="E3" s="151"/>
      <c r="F3" s="151"/>
      <c r="G3" s="151"/>
      <c r="H3" s="151"/>
      <c r="I3" s="151"/>
      <c r="J3" s="52"/>
      <c r="K3" s="52"/>
      <c r="L3" s="52"/>
      <c r="M3" s="1"/>
    </row>
    <row r="4" spans="2:25" ht="16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"/>
    </row>
    <row r="5" spans="2:25" x14ac:dyDescent="0.35">
      <c r="B5" s="14"/>
      <c r="C5" s="15"/>
      <c r="D5" s="142" t="s">
        <v>6</v>
      </c>
      <c r="E5" s="143"/>
      <c r="F5" s="143"/>
      <c r="G5" s="144"/>
      <c r="H5" s="129" t="s">
        <v>7</v>
      </c>
      <c r="I5" s="130"/>
      <c r="J5" s="53"/>
      <c r="K5" s="129" t="s">
        <v>8</v>
      </c>
      <c r="L5" s="130"/>
      <c r="M5" s="1"/>
    </row>
    <row r="6" spans="2:25" x14ac:dyDescent="0.35">
      <c r="B6" s="12"/>
      <c r="C6" s="13"/>
      <c r="D6" s="145" t="s">
        <v>9</v>
      </c>
      <c r="E6" s="146"/>
      <c r="F6" s="146"/>
      <c r="G6" s="147"/>
      <c r="H6" s="131"/>
      <c r="I6" s="132"/>
      <c r="J6" s="53"/>
      <c r="K6" s="131"/>
      <c r="L6" s="132"/>
      <c r="M6" s="1"/>
    </row>
    <row r="7" spans="2:25" ht="18.899999999999999" customHeight="1" x14ac:dyDescent="0.35">
      <c r="B7" s="133" t="s">
        <v>10</v>
      </c>
      <c r="C7" s="135" t="s">
        <v>11</v>
      </c>
      <c r="D7" s="51" t="s">
        <v>12</v>
      </c>
      <c r="E7" s="51" t="s">
        <v>13</v>
      </c>
      <c r="F7" s="51" t="s">
        <v>14</v>
      </c>
      <c r="G7" s="51" t="s">
        <v>15</v>
      </c>
      <c r="H7" s="124" t="s">
        <v>16</v>
      </c>
      <c r="I7" s="126" t="s">
        <v>17</v>
      </c>
      <c r="J7" s="54"/>
      <c r="K7" s="124" t="s">
        <v>18</v>
      </c>
      <c r="L7" s="126" t="s">
        <v>19</v>
      </c>
      <c r="M7" s="1"/>
    </row>
    <row r="8" spans="2:25" ht="36" customHeight="1" x14ac:dyDescent="0.35">
      <c r="B8" s="134"/>
      <c r="C8" s="136"/>
      <c r="D8" s="137" t="s">
        <v>20</v>
      </c>
      <c r="E8" s="138"/>
      <c r="F8" s="138"/>
      <c r="G8" s="139"/>
      <c r="H8" s="125"/>
      <c r="I8" s="127"/>
      <c r="J8" s="54"/>
      <c r="K8" s="125"/>
      <c r="L8" s="127"/>
      <c r="M8" s="1"/>
    </row>
    <row r="9" spans="2:25" x14ac:dyDescent="0.35">
      <c r="B9" s="40">
        <v>4</v>
      </c>
      <c r="C9" s="38" t="s">
        <v>21</v>
      </c>
      <c r="D9" s="20">
        <v>1795192.45</v>
      </c>
      <c r="E9" s="20">
        <v>0</v>
      </c>
      <c r="F9" s="43">
        <f>+D9+E9</f>
        <v>1795192.45</v>
      </c>
      <c r="G9" s="20">
        <f>+F9</f>
        <v>1795192.45</v>
      </c>
      <c r="H9" s="44">
        <f t="shared" ref="H9:H33" si="0">((G9-I9)/I9)*100</f>
        <v>155.94298999897705</v>
      </c>
      <c r="I9" s="20">
        <v>701403.25</v>
      </c>
      <c r="J9" s="45"/>
      <c r="K9" s="46">
        <f t="shared" ref="K9:K33" si="1">((G9-L9)/L9)*100</f>
        <v>-36.09110682508981</v>
      </c>
      <c r="L9" s="22">
        <f>+(701403.25+2705521.5+5020036.01)/3</f>
        <v>2808986.92</v>
      </c>
      <c r="M9" s="1"/>
      <c r="Y9" s="37"/>
    </row>
    <row r="10" spans="2:25" x14ac:dyDescent="0.35">
      <c r="B10" s="40">
        <v>5</v>
      </c>
      <c r="C10" s="38" t="s">
        <v>22</v>
      </c>
      <c r="D10" s="25">
        <v>6433422.9199999999</v>
      </c>
      <c r="E10" s="25">
        <v>0</v>
      </c>
      <c r="F10" s="47">
        <f>+E10+D10</f>
        <v>6433422.9199999999</v>
      </c>
      <c r="G10" s="25">
        <f>+G9+F10</f>
        <v>8228615.3700000001</v>
      </c>
      <c r="H10" s="48">
        <f t="shared" si="0"/>
        <v>42.070335862514163</v>
      </c>
      <c r="I10" s="25">
        <f>701403.25+5090527.43</f>
        <v>5791930.6799999997</v>
      </c>
      <c r="J10" s="45"/>
      <c r="K10" s="48">
        <f t="shared" si="1"/>
        <v>-8.394561661671462</v>
      </c>
      <c r="L10" s="25">
        <f>+(701403.25+2705521.5+5020036.01+5090527.43+6060755.3+7369770.25)/3</f>
        <v>8982671.2466666661</v>
      </c>
      <c r="M10" s="1"/>
    </row>
    <row r="11" spans="2:25" x14ac:dyDescent="0.35">
      <c r="B11" s="40">
        <v>6</v>
      </c>
      <c r="C11" s="38" t="s">
        <v>23</v>
      </c>
      <c r="D11" s="25">
        <v>9568155.3900000006</v>
      </c>
      <c r="E11" s="25">
        <v>0</v>
      </c>
      <c r="F11" s="47">
        <f>+E11+D11</f>
        <v>9568155.3900000006</v>
      </c>
      <c r="G11" s="25">
        <f t="shared" ref="G11:G22" si="2">+G10+F11</f>
        <v>17796770.760000002</v>
      </c>
      <c r="H11" s="48">
        <f t="shared" si="0"/>
        <v>71.120999985967458</v>
      </c>
      <c r="I11" s="25">
        <f>+I10+4608178.46</f>
        <v>10400109.140000001</v>
      </c>
      <c r="J11" s="45"/>
      <c r="K11" s="48">
        <f t="shared" si="1"/>
        <v>21.915601960924654</v>
      </c>
      <c r="L11" s="25">
        <v>14597615.460000001</v>
      </c>
      <c r="M11" s="41"/>
      <c r="O11" s="37"/>
      <c r="P11" s="37"/>
    </row>
    <row r="12" spans="2:25" x14ac:dyDescent="0.35">
      <c r="B12" s="40">
        <v>7</v>
      </c>
      <c r="C12" s="38" t="s">
        <v>24</v>
      </c>
      <c r="D12" s="25">
        <v>4340829.42</v>
      </c>
      <c r="E12" s="25">
        <f>+[1]Thompsons!E12+[1]Flame!E12+'[1]SA Sultana'!E12+'[1]OR Sultana'!E12+[1]Goldens!E12+[1]Currants!E12+[1]Other!E12</f>
        <v>4861144</v>
      </c>
      <c r="F12" s="47">
        <f t="shared" ref="F12:F33" si="3">+E12+D12</f>
        <v>9201973.4199999999</v>
      </c>
      <c r="G12" s="25">
        <f>+G11+F12</f>
        <v>26998744.18</v>
      </c>
      <c r="H12" s="48">
        <f t="shared" si="0"/>
        <v>52.153390722566151</v>
      </c>
      <c r="I12" s="25">
        <f>+I11+7344315.78</f>
        <v>17744424.920000002</v>
      </c>
      <c r="J12" s="45"/>
      <c r="K12" s="48">
        <f t="shared" si="1"/>
        <v>21.738671963785709</v>
      </c>
      <c r="L12" s="25">
        <f>66532870.15/3</f>
        <v>22177623.383333333</v>
      </c>
      <c r="M12" s="41"/>
      <c r="N12" s="39"/>
    </row>
    <row r="13" spans="2:25" x14ac:dyDescent="0.35">
      <c r="B13" s="40">
        <v>8</v>
      </c>
      <c r="C13" s="38" t="s">
        <v>25</v>
      </c>
      <c r="D13" s="25">
        <v>8409847.0700000003</v>
      </c>
      <c r="E13" s="25">
        <v>0</v>
      </c>
      <c r="F13" s="47">
        <f t="shared" si="3"/>
        <v>8409847.0700000003</v>
      </c>
      <c r="G13" s="25">
        <f t="shared" ref="G13" si="4">+G12+F13</f>
        <v>35408591.25</v>
      </c>
      <c r="H13" s="48">
        <f t="shared" si="0"/>
        <v>32.938579511486765</v>
      </c>
      <c r="I13" s="25">
        <v>26635301.34</v>
      </c>
      <c r="J13" s="45"/>
      <c r="K13" s="48">
        <f t="shared" si="1"/>
        <v>14.048078642294223</v>
      </c>
      <c r="L13" s="25">
        <f>93141221.68/3</f>
        <v>31047073.893333334</v>
      </c>
      <c r="M13" s="1"/>
    </row>
    <row r="14" spans="2:25" x14ac:dyDescent="0.35">
      <c r="B14" s="40">
        <v>9</v>
      </c>
      <c r="C14" s="38" t="s">
        <v>26</v>
      </c>
      <c r="D14" s="25">
        <v>6650673.9299999997</v>
      </c>
      <c r="E14" s="25">
        <v>0</v>
      </c>
      <c r="F14" s="47">
        <f t="shared" si="3"/>
        <v>6650673.9299999997</v>
      </c>
      <c r="G14" s="48">
        <f t="shared" si="2"/>
        <v>42059265.18</v>
      </c>
      <c r="H14" s="48">
        <f t="shared" si="0"/>
        <v>18.765085294794883</v>
      </c>
      <c r="I14" s="25">
        <v>35413829.810000002</v>
      </c>
      <c r="J14" s="45"/>
      <c r="K14" s="48">
        <f t="shared" si="1"/>
        <v>2.8597307542412906</v>
      </c>
      <c r="L14" s="25">
        <f>122669770.39/3</f>
        <v>40889923.463333331</v>
      </c>
      <c r="M14" s="1"/>
    </row>
    <row r="15" spans="2:25" x14ac:dyDescent="0.35">
      <c r="B15" s="40">
        <v>10</v>
      </c>
      <c r="C15" s="38" t="s">
        <v>62</v>
      </c>
      <c r="D15" s="25">
        <v>13010335.75</v>
      </c>
      <c r="E15" s="25">
        <f>106192+2190</f>
        <v>108382</v>
      </c>
      <c r="F15" s="47">
        <f>+E15+D15</f>
        <v>13118717.75</v>
      </c>
      <c r="G15" s="25">
        <f>+G14+F15</f>
        <v>55177982.93</v>
      </c>
      <c r="H15" s="48">
        <f t="shared" si="0"/>
        <v>14.307636853920568</v>
      </c>
      <c r="I15" s="25">
        <v>48271475.509999998</v>
      </c>
      <c r="J15" s="45"/>
      <c r="K15" s="48">
        <f t="shared" si="1"/>
        <v>6.6936348676421096</v>
      </c>
      <c r="L15" s="25">
        <v>51716283.729999997</v>
      </c>
      <c r="M15" s="1"/>
    </row>
    <row r="16" spans="2:25" x14ac:dyDescent="0.35">
      <c r="B16" s="40">
        <v>11</v>
      </c>
      <c r="C16" s="38" t="s">
        <v>63</v>
      </c>
      <c r="D16" s="25">
        <v>11665782.33</v>
      </c>
      <c r="E16" s="25">
        <v>0</v>
      </c>
      <c r="F16" s="47">
        <f t="shared" si="3"/>
        <v>11665782.33</v>
      </c>
      <c r="G16" s="25">
        <f>+G15+F16</f>
        <v>66843765.259999998</v>
      </c>
      <c r="H16" s="48">
        <f t="shared" si="0"/>
        <v>16.045292834067229</v>
      </c>
      <c r="I16" s="25">
        <f>+I15+9329969.26</f>
        <v>57601444.769999996</v>
      </c>
      <c r="J16" s="45"/>
      <c r="K16" s="48">
        <f t="shared" si="1"/>
        <v>11.429312162185775</v>
      </c>
      <c r="L16" s="25">
        <v>59987595.689999998</v>
      </c>
      <c r="M16" s="1"/>
    </row>
    <row r="17" spans="2:13" x14ac:dyDescent="0.35">
      <c r="B17" s="40">
        <v>12</v>
      </c>
      <c r="C17" s="38" t="s">
        <v>78</v>
      </c>
      <c r="D17" s="25">
        <v>11486068.300000001</v>
      </c>
      <c r="E17" s="25">
        <v>0</v>
      </c>
      <c r="F17" s="47">
        <f t="shared" si="3"/>
        <v>11486068.300000001</v>
      </c>
      <c r="G17" s="25">
        <f t="shared" si="2"/>
        <v>78329833.560000002</v>
      </c>
      <c r="H17" s="48">
        <f t="shared" si="0"/>
        <v>17.286873437121862</v>
      </c>
      <c r="I17" s="25">
        <v>66784825.329999998</v>
      </c>
      <c r="J17" s="45"/>
      <c r="K17" s="48">
        <f t="shared" si="1"/>
        <v>18.001565601037051</v>
      </c>
      <c r="L17" s="25">
        <v>66380334.159999996</v>
      </c>
      <c r="M17" s="1"/>
    </row>
    <row r="18" spans="2:13" x14ac:dyDescent="0.35">
      <c r="B18" s="40">
        <v>13</v>
      </c>
      <c r="C18" s="38" t="s">
        <v>64</v>
      </c>
      <c r="D18" s="25">
        <v>6744613.4299999997</v>
      </c>
      <c r="E18" s="25">
        <v>0</v>
      </c>
      <c r="F18" s="47">
        <f t="shared" si="3"/>
        <v>6744613.4299999997</v>
      </c>
      <c r="G18" s="25">
        <f t="shared" si="2"/>
        <v>85074446.99000001</v>
      </c>
      <c r="H18" s="48">
        <f>((G18-I18)/I18)*100</f>
        <v>16.532006559409378</v>
      </c>
      <c r="I18" s="25">
        <v>73005219.340000004</v>
      </c>
      <c r="J18" s="45"/>
      <c r="K18" s="48">
        <f t="shared" si="1"/>
        <v>20.12953159281933</v>
      </c>
      <c r="L18" s="25">
        <v>70818928.420000002</v>
      </c>
      <c r="M18" s="1"/>
    </row>
    <row r="19" spans="2:13" x14ac:dyDescent="0.35">
      <c r="B19" s="40">
        <v>14</v>
      </c>
      <c r="C19" s="58" t="s">
        <v>65</v>
      </c>
      <c r="D19" s="25">
        <v>1858001.64</v>
      </c>
      <c r="E19" s="25">
        <v>274690.5</v>
      </c>
      <c r="F19" s="47">
        <f t="shared" si="3"/>
        <v>2132692.1399999997</v>
      </c>
      <c r="G19" s="25">
        <f t="shared" si="2"/>
        <v>87207139.13000001</v>
      </c>
      <c r="H19" s="48">
        <f t="shared" si="0"/>
        <v>9.1412466234797485</v>
      </c>
      <c r="I19" s="25">
        <f>+I18+6897788.76</f>
        <v>79903008.100000009</v>
      </c>
      <c r="J19" s="45"/>
      <c r="K19" s="48">
        <f t="shared" si="1"/>
        <v>17.56141457369608</v>
      </c>
      <c r="L19" s="25">
        <v>74180069.579999998</v>
      </c>
      <c r="M19" s="1"/>
    </row>
    <row r="20" spans="2:13" x14ac:dyDescent="0.35">
      <c r="B20" s="40">
        <v>15</v>
      </c>
      <c r="C20" s="38" t="s">
        <v>66</v>
      </c>
      <c r="D20" s="25">
        <v>2564260.59</v>
      </c>
      <c r="E20" s="25">
        <v>0</v>
      </c>
      <c r="F20" s="47">
        <f t="shared" si="3"/>
        <v>2564260.59</v>
      </c>
      <c r="G20" s="25">
        <f t="shared" si="2"/>
        <v>89771399.720000014</v>
      </c>
      <c r="H20" s="48">
        <f t="shared" si="0"/>
        <v>6.8042532257403572</v>
      </c>
      <c r="I20" s="25">
        <f>+I19+4149262.3</f>
        <v>84052270.400000006</v>
      </c>
      <c r="J20" s="45"/>
      <c r="K20" s="48">
        <f t="shared" si="1"/>
        <v>16.871807113348538</v>
      </c>
      <c r="L20" s="25">
        <v>76811852.180000007</v>
      </c>
      <c r="M20" s="1"/>
    </row>
    <row r="21" spans="2:13" x14ac:dyDescent="0.35">
      <c r="B21" s="40">
        <v>16</v>
      </c>
      <c r="C21" s="38" t="s">
        <v>67</v>
      </c>
      <c r="D21" s="25">
        <v>3255071.4</v>
      </c>
      <c r="E21" s="25">
        <v>35132</v>
      </c>
      <c r="F21" s="47">
        <f t="shared" si="3"/>
        <v>3290203.4</v>
      </c>
      <c r="G21" s="25">
        <f t="shared" si="2"/>
        <v>93061603.12000002</v>
      </c>
      <c r="H21" s="48">
        <f t="shared" si="0"/>
        <v>5.2293270875892528</v>
      </c>
      <c r="I21" s="25">
        <f>+I20+4384675.55</f>
        <v>88436945.950000003</v>
      </c>
      <c r="J21" s="45"/>
      <c r="K21" s="48">
        <f t="shared" si="1"/>
        <v>17.787381503258729</v>
      </c>
      <c r="L21" s="25">
        <v>79008126.280000001</v>
      </c>
      <c r="M21" s="1"/>
    </row>
    <row r="22" spans="2:13" x14ac:dyDescent="0.35">
      <c r="B22" s="40">
        <v>17</v>
      </c>
      <c r="C22" s="38" t="s">
        <v>68</v>
      </c>
      <c r="D22" s="25">
        <v>1223172.6100000001</v>
      </c>
      <c r="E22" s="25">
        <v>254307</v>
      </c>
      <c r="F22" s="47">
        <f t="shared" si="3"/>
        <v>1477479.61</v>
      </c>
      <c r="G22" s="25">
        <f t="shared" si="2"/>
        <v>94539082.730000019</v>
      </c>
      <c r="H22" s="48">
        <f t="shared" si="0"/>
        <v>3.4871118896962296</v>
      </c>
      <c r="I22" s="25">
        <f>+I21+2916538.56</f>
        <v>91353484.510000005</v>
      </c>
      <c r="J22" s="45"/>
      <c r="K22" s="48">
        <f t="shared" si="1"/>
        <v>17.306963661086641</v>
      </c>
      <c r="L22" s="25">
        <v>80591194.060000002</v>
      </c>
      <c r="M22" s="1"/>
    </row>
    <row r="23" spans="2:13" x14ac:dyDescent="0.35">
      <c r="B23" s="40">
        <v>18</v>
      </c>
      <c r="C23" s="38" t="s">
        <v>69</v>
      </c>
      <c r="D23" s="25">
        <v>730080.04</v>
      </c>
      <c r="E23" s="25">
        <v>0</v>
      </c>
      <c r="F23" s="47">
        <f t="shared" si="3"/>
        <v>730080.04</v>
      </c>
      <c r="G23" s="25">
        <f>+G22+F23</f>
        <v>95269162.770000026</v>
      </c>
      <c r="H23" s="48">
        <f t="shared" si="0"/>
        <v>-0.27933629979515062</v>
      </c>
      <c r="I23" s="25">
        <f>+I22+4182545.07</f>
        <v>95536029.579999998</v>
      </c>
      <c r="J23" s="45"/>
      <c r="K23" s="48">
        <f t="shared" si="1"/>
        <v>15.936155227770572</v>
      </c>
      <c r="L23" s="25">
        <v>82173815.909999996</v>
      </c>
      <c r="M23" s="1"/>
    </row>
    <row r="24" spans="2:13" x14ac:dyDescent="0.35">
      <c r="B24" s="40">
        <v>19</v>
      </c>
      <c r="C24" s="38" t="s">
        <v>70</v>
      </c>
      <c r="D24" s="25">
        <v>1182002</v>
      </c>
      <c r="E24" s="25">
        <v>0</v>
      </c>
      <c r="F24" s="47">
        <f t="shared" si="3"/>
        <v>1182002</v>
      </c>
      <c r="G24" s="25">
        <f t="shared" ref="G24" si="5">+G23+F24</f>
        <v>96451164.770000026</v>
      </c>
      <c r="H24" s="48">
        <f t="shared" si="0"/>
        <v>-0.99182268674855556</v>
      </c>
      <c r="I24" s="25">
        <f>+I23+1881342.79</f>
        <v>97417372.370000005</v>
      </c>
      <c r="J24" s="45"/>
      <c r="K24" s="48">
        <f t="shared" si="1"/>
        <v>16.263401669788635</v>
      </c>
      <c r="L24" s="25">
        <v>82959180.090000004</v>
      </c>
      <c r="M24" s="1"/>
    </row>
    <row r="25" spans="2:13" x14ac:dyDescent="0.35">
      <c r="B25" s="40">
        <v>20</v>
      </c>
      <c r="C25" s="38" t="s">
        <v>71</v>
      </c>
      <c r="D25" s="25">
        <v>188523.5</v>
      </c>
      <c r="E25" s="25">
        <v>0</v>
      </c>
      <c r="F25" s="47">
        <f t="shared" si="3"/>
        <v>188523.5</v>
      </c>
      <c r="G25" s="25">
        <f>+G24+F25</f>
        <v>96639688.270000026</v>
      </c>
      <c r="H25" s="48">
        <f t="shared" si="0"/>
        <v>-2.3999740296642615</v>
      </c>
      <c r="I25" s="25">
        <f>+I24+1598675.33</f>
        <v>99016047.700000003</v>
      </c>
      <c r="J25" s="45"/>
      <c r="K25" s="48">
        <f t="shared" si="1"/>
        <v>15.163986094871021</v>
      </c>
      <c r="L25" s="25">
        <v>83914851.810000002</v>
      </c>
      <c r="M25" s="1"/>
    </row>
    <row r="26" spans="2:13" x14ac:dyDescent="0.35">
      <c r="B26" s="40">
        <v>21</v>
      </c>
      <c r="C26" s="38" t="s">
        <v>72</v>
      </c>
      <c r="D26" s="25">
        <v>472538.25</v>
      </c>
      <c r="E26" s="25">
        <v>0</v>
      </c>
      <c r="F26" s="47">
        <f t="shared" si="3"/>
        <v>472538.25</v>
      </c>
      <c r="G26" s="25">
        <f t="shared" ref="G26:G33" si="6">+G25+F26</f>
        <v>97112226.520000026</v>
      </c>
      <c r="H26" s="48">
        <f t="shared" si="0"/>
        <v>-2.9332591877048029</v>
      </c>
      <c r="I26" s="25">
        <f>+I25+1030812.54</f>
        <v>100046860.24000001</v>
      </c>
      <c r="J26" s="45"/>
      <c r="K26" s="48">
        <f t="shared" si="1"/>
        <v>14.845971282871403</v>
      </c>
      <c r="L26" s="25">
        <v>84558670.569999993</v>
      </c>
      <c r="M26" s="1"/>
    </row>
    <row r="27" spans="2:13" x14ac:dyDescent="0.35">
      <c r="B27" s="40">
        <v>22</v>
      </c>
      <c r="C27" s="38" t="s">
        <v>79</v>
      </c>
      <c r="D27" s="25">
        <v>879297.51</v>
      </c>
      <c r="E27" s="25">
        <v>0</v>
      </c>
      <c r="F27" s="47">
        <f t="shared" si="3"/>
        <v>879297.51</v>
      </c>
      <c r="G27" s="25">
        <f t="shared" si="6"/>
        <v>97991524.030000031</v>
      </c>
      <c r="H27" s="48">
        <f t="shared" si="0"/>
        <v>-2.4299721676977217</v>
      </c>
      <c r="I27" s="25">
        <f>+I26+385133.28</f>
        <v>100431993.52000001</v>
      </c>
      <c r="J27" s="45"/>
      <c r="K27" s="48">
        <f t="shared" si="1"/>
        <v>15.585166297187053</v>
      </c>
      <c r="L27" s="25">
        <v>84778633.079999998</v>
      </c>
      <c r="M27" s="1"/>
    </row>
    <row r="28" spans="2:13" x14ac:dyDescent="0.35">
      <c r="B28" s="40">
        <v>23</v>
      </c>
      <c r="C28" s="38" t="s">
        <v>80</v>
      </c>
      <c r="D28" s="25">
        <v>918751.99</v>
      </c>
      <c r="E28" s="25">
        <f>+[2]Thompsons!E28</f>
        <v>-64311</v>
      </c>
      <c r="F28" s="47">
        <f t="shared" si="3"/>
        <v>854440.99</v>
      </c>
      <c r="G28" s="25">
        <f t="shared" si="6"/>
        <v>98845965.020000026</v>
      </c>
      <c r="H28" s="48">
        <f t="shared" si="0"/>
        <v>-1.6890838339612362</v>
      </c>
      <c r="I28" s="25">
        <f>+I27+112248.03</f>
        <v>100544241.55000001</v>
      </c>
      <c r="J28" s="45"/>
      <c r="K28" s="48">
        <f t="shared" si="1"/>
        <v>16.530549887700179</v>
      </c>
      <c r="L28" s="25">
        <v>84824078.420000002</v>
      </c>
      <c r="M28" s="1"/>
    </row>
    <row r="29" spans="2:13" x14ac:dyDescent="0.35">
      <c r="B29" s="40">
        <v>24</v>
      </c>
      <c r="C29" s="38" t="s">
        <v>75</v>
      </c>
      <c r="D29" s="25">
        <v>260755.3</v>
      </c>
      <c r="E29" s="25">
        <v>0</v>
      </c>
      <c r="F29" s="47">
        <f t="shared" si="3"/>
        <v>260755.3</v>
      </c>
      <c r="G29" s="25">
        <f t="shared" si="6"/>
        <v>99106720.320000023</v>
      </c>
      <c r="H29" s="48">
        <f t="shared" si="0"/>
        <v>-1.7551180814775451</v>
      </c>
      <c r="I29" s="25">
        <f>+I28+332993.36</f>
        <v>100877234.91000001</v>
      </c>
      <c r="J29" s="45"/>
      <c r="K29" s="48">
        <f t="shared" si="1"/>
        <v>15.440138295465172</v>
      </c>
      <c r="L29" s="25">
        <v>85851179.480000004</v>
      </c>
      <c r="M29" s="1"/>
    </row>
    <row r="30" spans="2:13" x14ac:dyDescent="0.35">
      <c r="B30" s="40">
        <v>25</v>
      </c>
      <c r="C30" s="77" t="s">
        <v>76</v>
      </c>
      <c r="D30" s="25">
        <v>374038.2</v>
      </c>
      <c r="E30" s="25">
        <v>0</v>
      </c>
      <c r="F30" s="47">
        <f t="shared" si="3"/>
        <v>374038.2</v>
      </c>
      <c r="G30" s="25">
        <f t="shared" si="6"/>
        <v>99480758.520000026</v>
      </c>
      <c r="H30" s="48">
        <f t="shared" si="0"/>
        <v>-1.3843325416739316</v>
      </c>
      <c r="I30" s="25">
        <f>+I29+0</f>
        <v>100877234.91000001</v>
      </c>
      <c r="J30" s="45"/>
      <c r="K30" s="48">
        <f t="shared" si="1"/>
        <v>15.87582037026665</v>
      </c>
      <c r="L30" s="25">
        <f>+L29+0</f>
        <v>85851179.480000004</v>
      </c>
      <c r="M30" s="1"/>
    </row>
    <row r="31" spans="2:13" x14ac:dyDescent="0.35">
      <c r="B31" s="40">
        <v>26</v>
      </c>
      <c r="C31" s="77" t="s">
        <v>77</v>
      </c>
      <c r="D31" s="25">
        <v>68990.8</v>
      </c>
      <c r="E31" s="25">
        <v>37775</v>
      </c>
      <c r="F31" s="47">
        <f t="shared" si="3"/>
        <v>106765.8</v>
      </c>
      <c r="G31" s="25">
        <f t="shared" si="6"/>
        <v>99587524.320000023</v>
      </c>
      <c r="H31" s="48">
        <f t="shared" si="0"/>
        <v>-1.2784951839239391</v>
      </c>
      <c r="I31" s="25">
        <f>+I30+0</f>
        <v>100877234.91000001</v>
      </c>
      <c r="J31" s="45"/>
      <c r="K31" s="48">
        <f t="shared" si="1"/>
        <v>16.000181853296557</v>
      </c>
      <c r="L31" s="25">
        <f>+L30+0</f>
        <v>85851179.480000004</v>
      </c>
      <c r="M31" s="1"/>
    </row>
    <row r="32" spans="2:13" x14ac:dyDescent="0.35">
      <c r="B32" s="40">
        <v>27</v>
      </c>
      <c r="C32" s="77" t="s">
        <v>81</v>
      </c>
      <c r="D32" s="25">
        <v>67033.5</v>
      </c>
      <c r="E32" s="25">
        <v>0</v>
      </c>
      <c r="F32" s="47">
        <f t="shared" si="3"/>
        <v>67033.5</v>
      </c>
      <c r="G32" s="25">
        <f t="shared" si="6"/>
        <v>99654557.820000023</v>
      </c>
      <c r="H32" s="48">
        <f t="shared" si="0"/>
        <v>-1.2120446115427614</v>
      </c>
      <c r="I32" s="25">
        <f>+I31+0</f>
        <v>100877234.91000001</v>
      </c>
      <c r="J32" s="45"/>
      <c r="K32" s="48">
        <f t="shared" si="1"/>
        <v>16.078262900529712</v>
      </c>
      <c r="L32" s="25">
        <f>+L31+0</f>
        <v>85851179.480000004</v>
      </c>
      <c r="M32" s="1"/>
    </row>
    <row r="33" spans="2:14" x14ac:dyDescent="0.35">
      <c r="B33" s="40">
        <v>28</v>
      </c>
      <c r="C33" s="77" t="s">
        <v>87</v>
      </c>
      <c r="D33" s="25">
        <v>104027</v>
      </c>
      <c r="E33" s="25">
        <v>896958</v>
      </c>
      <c r="F33" s="47">
        <f t="shared" si="3"/>
        <v>1000985</v>
      </c>
      <c r="G33" s="49">
        <f t="shared" si="6"/>
        <v>100655542.82000002</v>
      </c>
      <c r="H33" s="48">
        <f t="shared" si="0"/>
        <v>-0.21976424135512485</v>
      </c>
      <c r="I33" s="25">
        <f>+I32+0</f>
        <v>100877234.91000001</v>
      </c>
      <c r="J33" s="45"/>
      <c r="K33" s="48">
        <f t="shared" si="1"/>
        <v>17.244216596289004</v>
      </c>
      <c r="L33" s="25">
        <f>+L32+0</f>
        <v>85851179.480000004</v>
      </c>
      <c r="M33" s="1"/>
      <c r="N33" s="39"/>
    </row>
    <row r="34" spans="2:14" hidden="1" x14ac:dyDescent="0.35">
      <c r="B34" s="40">
        <v>29</v>
      </c>
      <c r="C34" s="16" t="s">
        <v>27</v>
      </c>
      <c r="D34" s="25"/>
      <c r="E34" s="25"/>
      <c r="F34" s="47">
        <f t="shared" ref="F34:F47" si="7">+E34+D34</f>
        <v>0</v>
      </c>
      <c r="G34" s="25">
        <f t="shared" ref="G34:G47" si="8">+G33+F34</f>
        <v>100655542.82000002</v>
      </c>
      <c r="H34" s="48">
        <v>0</v>
      </c>
      <c r="I34" s="25">
        <v>0</v>
      </c>
      <c r="J34" s="45"/>
      <c r="K34" s="48">
        <v>0</v>
      </c>
      <c r="L34" s="25">
        <v>0</v>
      </c>
      <c r="M34" s="1"/>
    </row>
    <row r="35" spans="2:14" hidden="1" x14ac:dyDescent="0.35">
      <c r="B35" s="40">
        <v>30</v>
      </c>
      <c r="C35" s="16" t="s">
        <v>28</v>
      </c>
      <c r="D35" s="25"/>
      <c r="E35" s="25"/>
      <c r="F35" s="47">
        <f t="shared" si="7"/>
        <v>0</v>
      </c>
      <c r="G35" s="25">
        <f t="shared" si="8"/>
        <v>100655542.82000002</v>
      </c>
      <c r="H35" s="48">
        <v>0</v>
      </c>
      <c r="I35" s="25">
        <v>0</v>
      </c>
      <c r="J35" s="45"/>
      <c r="K35" s="48">
        <v>0</v>
      </c>
      <c r="L35" s="25">
        <v>0</v>
      </c>
      <c r="M35" s="1"/>
    </row>
    <row r="36" spans="2:14" hidden="1" x14ac:dyDescent="0.35">
      <c r="B36" s="40">
        <v>31</v>
      </c>
      <c r="C36" s="16" t="s">
        <v>29</v>
      </c>
      <c r="D36" s="25"/>
      <c r="E36" s="25"/>
      <c r="F36" s="47">
        <f t="shared" si="7"/>
        <v>0</v>
      </c>
      <c r="G36" s="25">
        <f t="shared" si="8"/>
        <v>100655542.82000002</v>
      </c>
      <c r="H36" s="48">
        <v>0</v>
      </c>
      <c r="I36" s="25">
        <v>0</v>
      </c>
      <c r="J36" s="45"/>
      <c r="K36" s="48">
        <v>0</v>
      </c>
      <c r="L36" s="25">
        <v>0</v>
      </c>
      <c r="M36" s="1"/>
    </row>
    <row r="37" spans="2:14" hidden="1" x14ac:dyDescent="0.35">
      <c r="B37" s="40">
        <v>32</v>
      </c>
      <c r="C37" s="16" t="s">
        <v>30</v>
      </c>
      <c r="D37" s="25"/>
      <c r="E37" s="25"/>
      <c r="F37" s="47">
        <f t="shared" si="7"/>
        <v>0</v>
      </c>
      <c r="G37" s="25">
        <f t="shared" si="8"/>
        <v>100655542.82000002</v>
      </c>
      <c r="H37" s="48">
        <v>0</v>
      </c>
      <c r="I37" s="25">
        <v>0</v>
      </c>
      <c r="J37" s="45"/>
      <c r="K37" s="48">
        <v>0</v>
      </c>
      <c r="L37" s="25">
        <v>0</v>
      </c>
      <c r="M37" s="1"/>
    </row>
    <row r="38" spans="2:14" hidden="1" x14ac:dyDescent="0.35">
      <c r="B38" s="40">
        <v>33</v>
      </c>
      <c r="C38" s="16" t="s">
        <v>31</v>
      </c>
      <c r="D38" s="25"/>
      <c r="E38" s="25"/>
      <c r="F38" s="47">
        <f t="shared" si="7"/>
        <v>0</v>
      </c>
      <c r="G38" s="25">
        <f t="shared" si="8"/>
        <v>100655542.82000002</v>
      </c>
      <c r="H38" s="48">
        <v>0</v>
      </c>
      <c r="I38" s="25">
        <v>0</v>
      </c>
      <c r="J38" s="45"/>
      <c r="K38" s="48">
        <v>0</v>
      </c>
      <c r="L38" s="25">
        <v>0</v>
      </c>
      <c r="M38" s="1"/>
    </row>
    <row r="39" spans="2:14" hidden="1" x14ac:dyDescent="0.35">
      <c r="B39" s="40">
        <v>34</v>
      </c>
      <c r="C39" s="17" t="s">
        <v>32</v>
      </c>
      <c r="D39" s="25"/>
      <c r="E39" s="25"/>
      <c r="F39" s="47">
        <f t="shared" si="7"/>
        <v>0</v>
      </c>
      <c r="G39" s="25">
        <f t="shared" si="8"/>
        <v>100655542.82000002</v>
      </c>
      <c r="H39" s="48">
        <v>0</v>
      </c>
      <c r="I39" s="25">
        <v>0</v>
      </c>
      <c r="J39" s="45"/>
      <c r="K39" s="48">
        <v>0</v>
      </c>
      <c r="L39" s="25">
        <v>0</v>
      </c>
      <c r="M39" s="1"/>
    </row>
    <row r="40" spans="2:14" hidden="1" x14ac:dyDescent="0.35">
      <c r="B40" s="40">
        <v>35</v>
      </c>
      <c r="C40" s="17" t="s">
        <v>33</v>
      </c>
      <c r="D40" s="25"/>
      <c r="E40" s="25"/>
      <c r="F40" s="47">
        <f t="shared" si="7"/>
        <v>0</v>
      </c>
      <c r="G40" s="25">
        <f t="shared" si="8"/>
        <v>100655542.82000002</v>
      </c>
      <c r="H40" s="48">
        <v>0</v>
      </c>
      <c r="I40" s="25">
        <v>0</v>
      </c>
      <c r="J40" s="45"/>
      <c r="K40" s="48">
        <v>0</v>
      </c>
      <c r="L40" s="25">
        <v>0</v>
      </c>
      <c r="M40" s="1"/>
    </row>
    <row r="41" spans="2:14" hidden="1" x14ac:dyDescent="0.35">
      <c r="B41" s="40">
        <v>36</v>
      </c>
      <c r="C41" s="16" t="s">
        <v>27</v>
      </c>
      <c r="D41" s="25"/>
      <c r="E41" s="25"/>
      <c r="F41" s="47">
        <f t="shared" ref="F41" si="9">+E41+D41</f>
        <v>0</v>
      </c>
      <c r="G41" s="25">
        <f t="shared" ref="G41" si="10">+G40+F41</f>
        <v>100655542.82000002</v>
      </c>
      <c r="H41" s="48">
        <v>0</v>
      </c>
      <c r="I41" s="25">
        <v>0</v>
      </c>
      <c r="J41" s="45"/>
      <c r="K41" s="48">
        <v>0</v>
      </c>
      <c r="L41" s="25">
        <v>0</v>
      </c>
      <c r="M41" s="1"/>
    </row>
    <row r="42" spans="2:14" hidden="1" x14ac:dyDescent="0.35">
      <c r="B42" s="40">
        <v>37</v>
      </c>
      <c r="C42" s="16" t="s">
        <v>29</v>
      </c>
      <c r="D42" s="25"/>
      <c r="E42" s="25"/>
      <c r="F42" s="47">
        <f t="shared" si="7"/>
        <v>0</v>
      </c>
      <c r="G42" s="25">
        <f>+G33+F42</f>
        <v>100655542.82000002</v>
      </c>
      <c r="H42" s="48">
        <v>0</v>
      </c>
      <c r="I42" s="25">
        <v>0</v>
      </c>
      <c r="J42" s="45"/>
      <c r="K42" s="48">
        <v>0</v>
      </c>
      <c r="L42" s="25">
        <v>0</v>
      </c>
      <c r="M42" s="1"/>
    </row>
    <row r="43" spans="2:14" hidden="1" x14ac:dyDescent="0.35">
      <c r="B43" s="40">
        <v>38</v>
      </c>
      <c r="C43" s="16" t="s">
        <v>30</v>
      </c>
      <c r="D43" s="25"/>
      <c r="E43" s="25"/>
      <c r="F43" s="47">
        <f t="shared" si="7"/>
        <v>0</v>
      </c>
      <c r="G43" s="25">
        <f t="shared" si="8"/>
        <v>100655542.82000002</v>
      </c>
      <c r="H43" s="48">
        <v>0</v>
      </c>
      <c r="I43" s="25">
        <v>0</v>
      </c>
      <c r="J43" s="45"/>
      <c r="K43" s="48">
        <v>0</v>
      </c>
      <c r="L43" s="25">
        <v>0</v>
      </c>
      <c r="M43" s="1"/>
    </row>
    <row r="44" spans="2:14" hidden="1" x14ac:dyDescent="0.35">
      <c r="B44" s="40">
        <v>39</v>
      </c>
      <c r="C44" s="16" t="s">
        <v>31</v>
      </c>
      <c r="D44" s="25"/>
      <c r="E44" s="25"/>
      <c r="F44" s="47">
        <f t="shared" si="7"/>
        <v>0</v>
      </c>
      <c r="G44" s="25">
        <f t="shared" si="8"/>
        <v>100655542.82000002</v>
      </c>
      <c r="H44" s="48">
        <v>0</v>
      </c>
      <c r="I44" s="25">
        <v>0</v>
      </c>
      <c r="J44" s="45"/>
      <c r="K44" s="48">
        <v>0</v>
      </c>
      <c r="L44" s="25">
        <v>0</v>
      </c>
      <c r="M44" s="1"/>
    </row>
    <row r="45" spans="2:14" hidden="1" x14ac:dyDescent="0.35">
      <c r="B45" s="40">
        <v>40</v>
      </c>
      <c r="C45" s="17"/>
      <c r="D45" s="25"/>
      <c r="E45" s="25"/>
      <c r="F45" s="47"/>
      <c r="G45" s="25"/>
      <c r="H45" s="48"/>
      <c r="I45" s="25"/>
      <c r="J45" s="45"/>
      <c r="K45" s="48"/>
      <c r="L45" s="25"/>
      <c r="M45" s="1"/>
    </row>
    <row r="46" spans="2:14" hidden="1" x14ac:dyDescent="0.35">
      <c r="B46" s="40">
        <v>41</v>
      </c>
      <c r="C46" s="17" t="s">
        <v>32</v>
      </c>
      <c r="D46" s="25"/>
      <c r="E46" s="25"/>
      <c r="F46" s="47">
        <f t="shared" si="7"/>
        <v>0</v>
      </c>
      <c r="G46" s="25">
        <f>+G44+F46</f>
        <v>100655542.82000002</v>
      </c>
      <c r="H46" s="48">
        <v>0</v>
      </c>
      <c r="I46" s="25">
        <v>0</v>
      </c>
      <c r="J46" s="45"/>
      <c r="K46" s="48">
        <v>0</v>
      </c>
      <c r="L46" s="25">
        <v>0</v>
      </c>
      <c r="M46" s="1"/>
    </row>
    <row r="47" spans="2:14" hidden="1" x14ac:dyDescent="0.35">
      <c r="B47" s="40">
        <v>42</v>
      </c>
      <c r="C47" s="17" t="s">
        <v>33</v>
      </c>
      <c r="D47" s="25"/>
      <c r="E47" s="25"/>
      <c r="F47" s="47">
        <f t="shared" si="7"/>
        <v>0</v>
      </c>
      <c r="G47" s="25">
        <f t="shared" si="8"/>
        <v>100655542.82000002</v>
      </c>
      <c r="H47" s="48">
        <v>0</v>
      </c>
      <c r="I47" s="25">
        <v>0</v>
      </c>
      <c r="J47" s="45"/>
      <c r="K47" s="48">
        <v>0</v>
      </c>
      <c r="L47" s="25">
        <v>0</v>
      </c>
      <c r="M47" s="1"/>
    </row>
    <row r="48" spans="2:14" x14ac:dyDescent="0.35">
      <c r="B48" s="5"/>
      <c r="C48" s="5"/>
      <c r="D48" s="6"/>
      <c r="E48" s="6"/>
      <c r="F48" s="6"/>
      <c r="G48" s="6"/>
      <c r="H48" s="6"/>
      <c r="I48" s="6"/>
      <c r="J48" s="6"/>
      <c r="K48" s="6"/>
      <c r="L48" s="6"/>
      <c r="M48" s="41"/>
    </row>
    <row r="49" spans="2:14" x14ac:dyDescent="0.35">
      <c r="B49" s="8" t="s">
        <v>34</v>
      </c>
      <c r="C49" s="5"/>
      <c r="D49" s="6"/>
      <c r="E49" s="6"/>
      <c r="F49" s="6"/>
      <c r="G49" s="2"/>
      <c r="H49" s="6"/>
      <c r="I49" s="6"/>
      <c r="J49" s="6"/>
      <c r="M49" s="39"/>
      <c r="N49" s="39"/>
    </row>
    <row r="50" spans="2:14" x14ac:dyDescent="0.35">
      <c r="B50" s="9" t="s">
        <v>35</v>
      </c>
      <c r="C50" s="5"/>
      <c r="D50" s="6"/>
      <c r="E50" s="6"/>
      <c r="F50" s="6"/>
      <c r="G50" s="2"/>
      <c r="H50" s="6"/>
      <c r="I50" s="6"/>
      <c r="J50" s="6"/>
    </row>
    <row r="51" spans="2:14" x14ac:dyDescent="0.35">
      <c r="B51" s="9" t="s">
        <v>36</v>
      </c>
      <c r="C51" s="5"/>
      <c r="D51" s="6"/>
      <c r="E51" s="6"/>
      <c r="F51" s="6"/>
      <c r="G51" s="2"/>
      <c r="H51" s="6"/>
      <c r="I51" s="6"/>
      <c r="J51" s="6"/>
    </row>
    <row r="52" spans="2:14" x14ac:dyDescent="0.35">
      <c r="B52" s="9" t="s">
        <v>37</v>
      </c>
      <c r="C52" s="5"/>
      <c r="D52" s="6"/>
      <c r="E52" s="6"/>
      <c r="F52" s="6"/>
      <c r="G52" s="2"/>
      <c r="H52" s="6"/>
      <c r="I52" s="6"/>
      <c r="J52" s="6"/>
    </row>
    <row r="53" spans="2:14" x14ac:dyDescent="0.35">
      <c r="B53" s="10"/>
      <c r="C53" s="10"/>
      <c r="D53" s="42"/>
      <c r="E53" s="42"/>
      <c r="F53" s="42"/>
      <c r="G53" s="2"/>
      <c r="H53" s="42"/>
      <c r="I53" s="42"/>
      <c r="J53" s="42"/>
      <c r="K53" s="42"/>
      <c r="L53" s="42"/>
      <c r="M53" s="37"/>
    </row>
    <row r="54" spans="2:14" x14ac:dyDescent="0.35">
      <c r="B54" s="9"/>
      <c r="C54" s="5"/>
      <c r="D54" s="6"/>
      <c r="E54" s="6"/>
      <c r="F54" s="6"/>
      <c r="G54" s="6"/>
      <c r="H54" s="6"/>
      <c r="I54" s="6"/>
      <c r="J54" s="6"/>
      <c r="K54" s="41"/>
    </row>
    <row r="55" spans="2:14" ht="18.5" x14ac:dyDescent="0.45">
      <c r="B55" s="10"/>
      <c r="C55" s="10"/>
      <c r="D55" s="152" t="s">
        <v>38</v>
      </c>
      <c r="E55" s="152"/>
      <c r="F55" s="152"/>
      <c r="G55" s="152"/>
      <c r="H55" s="152"/>
      <c r="I55" s="152"/>
      <c r="J55" s="42"/>
    </row>
    <row r="56" spans="2:14" s="35" customFormat="1" ht="21" x14ac:dyDescent="0.5">
      <c r="B56" s="26"/>
      <c r="C56" s="26"/>
      <c r="D56" s="153" t="s">
        <v>39</v>
      </c>
      <c r="E56" s="153"/>
      <c r="F56" s="153"/>
      <c r="G56" s="153"/>
      <c r="H56" s="153"/>
      <c r="I56" s="153"/>
      <c r="J56" s="52"/>
      <c r="K56" s="57"/>
      <c r="L56" s="57"/>
    </row>
    <row r="57" spans="2:14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37"/>
    </row>
    <row r="58" spans="2:14" ht="15" customHeight="1" x14ac:dyDescent="0.35">
      <c r="B58" s="14"/>
      <c r="C58" s="15"/>
      <c r="D58" s="142" t="s">
        <v>6</v>
      </c>
      <c r="E58" s="143"/>
      <c r="F58" s="143"/>
      <c r="G58" s="144"/>
      <c r="H58" s="129" t="s">
        <v>7</v>
      </c>
      <c r="I58" s="130"/>
      <c r="J58" s="53"/>
      <c r="K58" s="129" t="s">
        <v>8</v>
      </c>
      <c r="L58" s="130"/>
    </row>
    <row r="59" spans="2:14" ht="14.4" customHeight="1" x14ac:dyDescent="0.35">
      <c r="B59" s="12"/>
      <c r="C59" s="13"/>
      <c r="D59" s="145" t="s">
        <v>9</v>
      </c>
      <c r="E59" s="146"/>
      <c r="F59" s="146"/>
      <c r="G59" s="147"/>
      <c r="H59" s="131"/>
      <c r="I59" s="132"/>
      <c r="J59" s="53"/>
      <c r="K59" s="131"/>
      <c r="L59" s="132"/>
    </row>
    <row r="60" spans="2:14" ht="14.4" customHeight="1" x14ac:dyDescent="0.35">
      <c r="B60" s="133" t="s">
        <v>10</v>
      </c>
      <c r="C60" s="135" t="s">
        <v>11</v>
      </c>
      <c r="D60" s="51" t="s">
        <v>12</v>
      </c>
      <c r="E60" s="51" t="s">
        <v>13</v>
      </c>
      <c r="F60" s="51" t="s">
        <v>14</v>
      </c>
      <c r="G60" s="51" t="s">
        <v>15</v>
      </c>
      <c r="H60" s="124" t="s">
        <v>16</v>
      </c>
      <c r="I60" s="126" t="s">
        <v>17</v>
      </c>
      <c r="J60" s="54"/>
      <c r="K60" s="124" t="s">
        <v>18</v>
      </c>
      <c r="L60" s="126" t="s">
        <v>19</v>
      </c>
    </row>
    <row r="61" spans="2:14" ht="38.4" customHeight="1" x14ac:dyDescent="0.35">
      <c r="B61" s="134"/>
      <c r="C61" s="136"/>
      <c r="D61" s="137" t="s">
        <v>20</v>
      </c>
      <c r="E61" s="138"/>
      <c r="F61" s="138"/>
      <c r="G61" s="139"/>
      <c r="H61" s="125"/>
      <c r="I61" s="127"/>
      <c r="J61" s="54"/>
      <c r="K61" s="125"/>
      <c r="L61" s="127"/>
    </row>
    <row r="62" spans="2:14" x14ac:dyDescent="0.35">
      <c r="B62" s="40">
        <v>4</v>
      </c>
      <c r="C62" s="38" t="s">
        <v>21</v>
      </c>
      <c r="D62" s="20">
        <v>1599778.44</v>
      </c>
      <c r="E62" s="20">
        <v>0</v>
      </c>
      <c r="F62" s="43">
        <f>+D62+E62</f>
        <v>1599778.44</v>
      </c>
      <c r="G62" s="20">
        <f>+F62</f>
        <v>1599778.44</v>
      </c>
      <c r="H62" s="44">
        <f t="shared" ref="H62:H86" si="11">((G62-I62)/I62)*100</f>
        <v>128.08255308198244</v>
      </c>
      <c r="I62" s="20">
        <v>701403.25</v>
      </c>
      <c r="J62" s="45"/>
      <c r="K62" s="46">
        <f t="shared" ref="K62:K86" si="12">((G62-L62)/L62)*100</f>
        <v>-34.026320157977501</v>
      </c>
      <c r="L62" s="22">
        <f>7274621.23/3</f>
        <v>2424873.7433333336</v>
      </c>
    </row>
    <row r="63" spans="2:14" x14ac:dyDescent="0.35">
      <c r="B63" s="40">
        <v>5</v>
      </c>
      <c r="C63" s="38" t="s">
        <v>22</v>
      </c>
      <c r="D63" s="25">
        <v>5622775.5199999996</v>
      </c>
      <c r="E63" s="25">
        <v>0</v>
      </c>
      <c r="F63" s="47">
        <f>+E63+D63</f>
        <v>5622775.5199999996</v>
      </c>
      <c r="G63" s="25">
        <f>+G62+F63</f>
        <v>7222553.959999999</v>
      </c>
      <c r="H63" s="48">
        <f t="shared" si="11"/>
        <v>49.144504633418961</v>
      </c>
      <c r="I63" s="25">
        <f>+I62+4141251.85</f>
        <v>4842655.0999999996</v>
      </c>
      <c r="J63" s="45"/>
      <c r="K63" s="48">
        <f t="shared" si="12"/>
        <v>-4.4859812394465441</v>
      </c>
      <c r="L63" s="25">
        <f>22685321.13/3</f>
        <v>7561773.71</v>
      </c>
    </row>
    <row r="64" spans="2:14" x14ac:dyDescent="0.35">
      <c r="B64" s="40">
        <v>6</v>
      </c>
      <c r="C64" s="38" t="s">
        <v>23</v>
      </c>
      <c r="D64" s="25">
        <v>8495852.0099999998</v>
      </c>
      <c r="E64" s="25">
        <v>0</v>
      </c>
      <c r="F64" s="47">
        <f>+E64+D64</f>
        <v>8495852.0099999998</v>
      </c>
      <c r="G64" s="25">
        <f t="shared" ref="G64" si="13">+G63+F64</f>
        <v>15718405.969999999</v>
      </c>
      <c r="H64" s="48">
        <f t="shared" si="11"/>
        <v>86.832983197341335</v>
      </c>
      <c r="I64" s="25">
        <f>+I63+3570423.63</f>
        <v>8413078.7300000004</v>
      </c>
      <c r="J64" s="45"/>
      <c r="K64" s="48">
        <f t="shared" si="12"/>
        <v>28.879260622691326</v>
      </c>
      <c r="L64" s="25">
        <v>12196226.060000001</v>
      </c>
    </row>
    <row r="65" spans="2:15" x14ac:dyDescent="0.35">
      <c r="B65" s="40">
        <v>7</v>
      </c>
      <c r="C65" s="38" t="s">
        <v>24</v>
      </c>
      <c r="D65" s="25">
        <v>3567588.05</v>
      </c>
      <c r="E65" s="25">
        <v>4019845</v>
      </c>
      <c r="F65" s="47">
        <f t="shared" ref="F65:F86" si="14">+E65+D65</f>
        <v>7587433.0499999998</v>
      </c>
      <c r="G65" s="25">
        <f>+G64+F65</f>
        <v>23305839.02</v>
      </c>
      <c r="H65" s="48">
        <f t="shared" si="11"/>
        <v>58.473363365115738</v>
      </c>
      <c r="I65" s="25">
        <f>+I64+6293392.14</f>
        <v>14706470.870000001</v>
      </c>
      <c r="J65" s="45"/>
      <c r="K65" s="48">
        <f t="shared" si="12"/>
        <v>25.708658641412395</v>
      </c>
      <c r="L65" s="25">
        <v>18539565.43</v>
      </c>
      <c r="N65" s="37"/>
      <c r="O65" s="37"/>
    </row>
    <row r="66" spans="2:15" x14ac:dyDescent="0.35">
      <c r="B66" s="40">
        <v>8</v>
      </c>
      <c r="C66" s="38" t="s">
        <v>25</v>
      </c>
      <c r="D66" s="25">
        <v>6905423.6200000001</v>
      </c>
      <c r="E66" s="25">
        <v>0</v>
      </c>
      <c r="F66" s="47">
        <f t="shared" si="14"/>
        <v>6905423.6200000001</v>
      </c>
      <c r="G66" s="25">
        <f t="shared" ref="G66:G86" si="15">+G65+F66</f>
        <v>30211262.640000001</v>
      </c>
      <c r="H66" s="48">
        <f t="shared" si="11"/>
        <v>39.459672634192088</v>
      </c>
      <c r="I66" s="25">
        <v>21663081.57</v>
      </c>
      <c r="J66" s="45"/>
      <c r="K66" s="48">
        <f t="shared" si="12"/>
        <v>16.881059624887744</v>
      </c>
      <c r="L66" s="25">
        <v>25847868.539999999</v>
      </c>
    </row>
    <row r="67" spans="2:15" x14ac:dyDescent="0.35">
      <c r="B67" s="40">
        <v>9</v>
      </c>
      <c r="C67" s="38" t="s">
        <v>26</v>
      </c>
      <c r="D67" s="25">
        <v>5022336.0199999996</v>
      </c>
      <c r="E67" s="25">
        <v>3035</v>
      </c>
      <c r="F67" s="47">
        <f t="shared" si="14"/>
        <v>5025371.0199999996</v>
      </c>
      <c r="G67" s="25">
        <f t="shared" si="15"/>
        <v>35236633.659999996</v>
      </c>
      <c r="H67" s="48">
        <f t="shared" si="11"/>
        <v>20.997850975198109</v>
      </c>
      <c r="I67" s="25">
        <v>29121702.059999999</v>
      </c>
      <c r="J67" s="45"/>
      <c r="K67" s="48">
        <f t="shared" si="12"/>
        <v>3.7123794463932365</v>
      </c>
      <c r="L67" s="25">
        <f>101926020.35/3</f>
        <v>33975340.116666667</v>
      </c>
    </row>
    <row r="68" spans="2:15" x14ac:dyDescent="0.35">
      <c r="B68" s="40">
        <v>10</v>
      </c>
      <c r="C68" s="38" t="s">
        <v>62</v>
      </c>
      <c r="D68" s="25">
        <v>10905337.550000001</v>
      </c>
      <c r="E68" s="25">
        <f>106192+2190</f>
        <v>108382</v>
      </c>
      <c r="F68" s="47">
        <f t="shared" si="14"/>
        <v>11013719.550000001</v>
      </c>
      <c r="G68" s="25">
        <f t="shared" si="15"/>
        <v>46250353.209999993</v>
      </c>
      <c r="H68" s="48">
        <f t="shared" si="11"/>
        <v>15.983377051305473</v>
      </c>
      <c r="I68" s="25">
        <v>39876708.530000001</v>
      </c>
      <c r="J68" s="45"/>
      <c r="K68" s="48">
        <f t="shared" si="12"/>
        <v>7.8013854612162365</v>
      </c>
      <c r="L68" s="25">
        <v>42903301.299999997</v>
      </c>
    </row>
    <row r="69" spans="2:15" x14ac:dyDescent="0.35">
      <c r="B69" s="40">
        <v>11</v>
      </c>
      <c r="C69" s="38" t="s">
        <v>63</v>
      </c>
      <c r="D69" s="25">
        <v>9153994.5500000007</v>
      </c>
      <c r="E69" s="25">
        <v>0</v>
      </c>
      <c r="F69" s="47">
        <f t="shared" si="14"/>
        <v>9153994.5500000007</v>
      </c>
      <c r="G69" s="25">
        <f t="shared" si="15"/>
        <v>55404347.75999999</v>
      </c>
      <c r="H69" s="48">
        <f t="shared" si="11"/>
        <v>17.639081241561239</v>
      </c>
      <c r="I69" s="25">
        <f>+I68+7220180.68</f>
        <v>47096889.210000001</v>
      </c>
      <c r="J69" s="45"/>
      <c r="K69" s="48">
        <f t="shared" si="12"/>
        <v>12.193957908502922</v>
      </c>
      <c r="L69" s="25">
        <v>49382648.399999999</v>
      </c>
    </row>
    <row r="70" spans="2:15" x14ac:dyDescent="0.35">
      <c r="B70" s="40">
        <v>12</v>
      </c>
      <c r="C70" s="38" t="s">
        <v>78</v>
      </c>
      <c r="D70" s="25">
        <v>8901740.5800000001</v>
      </c>
      <c r="E70" s="25">
        <v>0</v>
      </c>
      <c r="F70" s="47">
        <f t="shared" si="14"/>
        <v>8901740.5800000001</v>
      </c>
      <c r="G70" s="25">
        <f t="shared" si="15"/>
        <v>64306088.339999989</v>
      </c>
      <c r="H70" s="48">
        <f t="shared" si="11"/>
        <v>19.068550278008292</v>
      </c>
      <c r="I70" s="25">
        <v>54007618.460000001</v>
      </c>
      <c r="J70" s="45"/>
      <c r="K70" s="48">
        <f t="shared" si="12"/>
        <v>18.811774853205733</v>
      </c>
      <c r="L70" s="25">
        <v>54124339.460000001</v>
      </c>
    </row>
    <row r="71" spans="2:15" x14ac:dyDescent="0.35">
      <c r="B71" s="40">
        <v>13</v>
      </c>
      <c r="C71" s="38" t="s">
        <v>64</v>
      </c>
      <c r="D71" s="25">
        <v>4645948.2699999996</v>
      </c>
      <c r="E71" s="25">
        <v>-12755</v>
      </c>
      <c r="F71" s="47">
        <f t="shared" si="14"/>
        <v>4633193.2699999996</v>
      </c>
      <c r="G71" s="25">
        <f t="shared" si="15"/>
        <v>68939281.609999985</v>
      </c>
      <c r="H71" s="48">
        <f t="shared" si="11"/>
        <v>16.648267700808383</v>
      </c>
      <c r="I71" s="25">
        <v>59100133.219999999</v>
      </c>
      <c r="J71" s="45"/>
      <c r="K71" s="48">
        <f t="shared" si="12"/>
        <v>19.511459069836413</v>
      </c>
      <c r="L71" s="25">
        <v>57684243.960000001</v>
      </c>
    </row>
    <row r="72" spans="2:15" x14ac:dyDescent="0.35">
      <c r="B72" s="40">
        <v>14</v>
      </c>
      <c r="C72" s="58" t="s">
        <v>65</v>
      </c>
      <c r="D72" s="25">
        <v>1361758.54</v>
      </c>
      <c r="E72" s="25">
        <v>274690.5</v>
      </c>
      <c r="F72" s="47">
        <f t="shared" si="14"/>
        <v>1636449.04</v>
      </c>
      <c r="G72" s="25">
        <f t="shared" si="15"/>
        <v>70575730.649999991</v>
      </c>
      <c r="H72" s="48">
        <f t="shared" si="11"/>
        <v>8.0763353064763166</v>
      </c>
      <c r="I72" s="25">
        <f>+I71+6201609.71</f>
        <v>65301742.93</v>
      </c>
      <c r="J72" s="45"/>
      <c r="K72" s="48">
        <f t="shared" si="12"/>
        <v>16.924239479078338</v>
      </c>
      <c r="L72" s="25">
        <v>60360222.109999999</v>
      </c>
    </row>
    <row r="73" spans="2:15" x14ac:dyDescent="0.35">
      <c r="B73" s="40">
        <v>15</v>
      </c>
      <c r="C73" s="38" t="s">
        <v>66</v>
      </c>
      <c r="D73" s="25">
        <v>1942394</v>
      </c>
      <c r="E73" s="25">
        <v>0</v>
      </c>
      <c r="F73" s="47">
        <f t="shared" si="14"/>
        <v>1942394</v>
      </c>
      <c r="G73" s="25">
        <f t="shared" si="15"/>
        <v>72518124.649999991</v>
      </c>
      <c r="H73" s="48">
        <f t="shared" si="11"/>
        <v>5.4835465143493956</v>
      </c>
      <c r="I73" s="25">
        <f>+I72+3446537.77</f>
        <v>68748280.700000003</v>
      </c>
      <c r="J73" s="45"/>
      <c r="K73" s="48">
        <f t="shared" si="12"/>
        <v>16.334984889914089</v>
      </c>
      <c r="L73" s="25">
        <v>62335611.869999997</v>
      </c>
    </row>
    <row r="74" spans="2:15" x14ac:dyDescent="0.35">
      <c r="B74" s="40">
        <v>16</v>
      </c>
      <c r="C74" s="38" t="s">
        <v>67</v>
      </c>
      <c r="D74" s="25">
        <v>2561186.83</v>
      </c>
      <c r="E74" s="25">
        <v>35132</v>
      </c>
      <c r="F74" s="47">
        <f t="shared" si="14"/>
        <v>2596318.83</v>
      </c>
      <c r="G74" s="25">
        <f t="shared" si="15"/>
        <v>75114443.479999989</v>
      </c>
      <c r="H74" s="48">
        <f t="shared" si="11"/>
        <v>3.4387568541124147</v>
      </c>
      <c r="I74" s="25">
        <v>72617310.730000004</v>
      </c>
      <c r="J74" s="45"/>
      <c r="K74" s="48">
        <f t="shared" si="12"/>
        <v>17.198370603141942</v>
      </c>
      <c r="L74" s="25">
        <v>64091713.130000003</v>
      </c>
    </row>
    <row r="75" spans="2:15" x14ac:dyDescent="0.35">
      <c r="B75" s="40">
        <v>17</v>
      </c>
      <c r="C75" s="38" t="s">
        <v>68</v>
      </c>
      <c r="D75" s="25">
        <v>823962</v>
      </c>
      <c r="E75" s="25">
        <v>254307</v>
      </c>
      <c r="F75" s="47">
        <f t="shared" si="14"/>
        <v>1078269</v>
      </c>
      <c r="G75" s="25">
        <f t="shared" si="15"/>
        <v>76192712.479999989</v>
      </c>
      <c r="H75" s="48">
        <f t="shared" si="11"/>
        <v>1.844479346196531</v>
      </c>
      <c r="I75" s="25">
        <f>+I74+2195495</f>
        <v>74812805.730000004</v>
      </c>
      <c r="J75" s="45"/>
      <c r="K75" s="48">
        <f t="shared" si="12"/>
        <v>16.803955029310835</v>
      </c>
      <c r="L75" s="25">
        <v>65231277.880000003</v>
      </c>
    </row>
    <row r="76" spans="2:15" x14ac:dyDescent="0.35">
      <c r="B76" s="40">
        <v>18</v>
      </c>
      <c r="C76" s="38" t="s">
        <v>69</v>
      </c>
      <c r="D76" s="25">
        <v>473042.5</v>
      </c>
      <c r="E76" s="25">
        <v>0</v>
      </c>
      <c r="F76" s="47">
        <f t="shared" si="14"/>
        <v>473042.5</v>
      </c>
      <c r="G76" s="25">
        <f t="shared" si="15"/>
        <v>76665754.979999989</v>
      </c>
      <c r="H76" s="48">
        <f t="shared" si="11"/>
        <v>-2.3696650815192983</v>
      </c>
      <c r="I76" s="25">
        <f>+I75+3713766</f>
        <v>78526571.730000004</v>
      </c>
      <c r="J76" s="45"/>
      <c r="K76" s="48">
        <f t="shared" si="12"/>
        <v>15.096905879831482</v>
      </c>
      <c r="L76" s="25">
        <v>66609744.539999999</v>
      </c>
    </row>
    <row r="77" spans="2:15" x14ac:dyDescent="0.35">
      <c r="B77" s="40">
        <v>19</v>
      </c>
      <c r="C77" s="38" t="s">
        <v>70</v>
      </c>
      <c r="D77" s="25">
        <v>934031.5</v>
      </c>
      <c r="E77" s="25">
        <v>0</v>
      </c>
      <c r="F77" s="47">
        <f t="shared" si="14"/>
        <v>934031.5</v>
      </c>
      <c r="G77" s="25">
        <f t="shared" si="15"/>
        <v>77599786.479999989</v>
      </c>
      <c r="H77" s="48">
        <f t="shared" si="11"/>
        <v>-3.0412646650125423</v>
      </c>
      <c r="I77" s="25">
        <f>+I76+1507255.25</f>
        <v>80033826.980000004</v>
      </c>
      <c r="J77" s="45"/>
      <c r="K77" s="48">
        <f t="shared" si="12"/>
        <v>15.455113084083314</v>
      </c>
      <c r="L77" s="25">
        <v>67212083.040000007</v>
      </c>
    </row>
    <row r="78" spans="2:15" x14ac:dyDescent="0.35">
      <c r="B78" s="40">
        <v>20</v>
      </c>
      <c r="C78" s="38" t="s">
        <v>71</v>
      </c>
      <c r="D78" s="25">
        <v>180191.5</v>
      </c>
      <c r="E78" s="25">
        <v>0</v>
      </c>
      <c r="F78" s="47">
        <f t="shared" si="14"/>
        <v>180191.5</v>
      </c>
      <c r="G78" s="25">
        <f t="shared" si="15"/>
        <v>77779977.979999989</v>
      </c>
      <c r="H78" s="48">
        <f t="shared" si="11"/>
        <v>-4.4726820260470319</v>
      </c>
      <c r="I78" s="25">
        <f>+I77+1387885.29</f>
        <v>81421712.270000011</v>
      </c>
      <c r="J78" s="45"/>
      <c r="K78" s="48">
        <f t="shared" si="12"/>
        <v>14.551503729870907</v>
      </c>
      <c r="L78" s="25">
        <v>67899569.579999998</v>
      </c>
    </row>
    <row r="79" spans="2:15" x14ac:dyDescent="0.35">
      <c r="B79" s="40">
        <v>21</v>
      </c>
      <c r="C79" s="38" t="s">
        <v>72</v>
      </c>
      <c r="D79" s="25">
        <v>464510</v>
      </c>
      <c r="E79" s="25">
        <v>0</v>
      </c>
      <c r="F79" s="47">
        <f t="shared" si="14"/>
        <v>464510</v>
      </c>
      <c r="G79" s="25">
        <f t="shared" si="15"/>
        <v>78244487.979999989</v>
      </c>
      <c r="H79" s="48">
        <f t="shared" si="11"/>
        <v>-5.0295756744360913</v>
      </c>
      <c r="I79" s="25">
        <f>+I78+966556.01</f>
        <v>82388268.280000016</v>
      </c>
      <c r="J79" s="45"/>
      <c r="K79" s="48">
        <f t="shared" si="12"/>
        <v>14.511459160383211</v>
      </c>
      <c r="L79" s="25">
        <v>68328959</v>
      </c>
    </row>
    <row r="80" spans="2:15" x14ac:dyDescent="0.35">
      <c r="B80" s="40">
        <v>22</v>
      </c>
      <c r="C80" s="38" t="s">
        <v>79</v>
      </c>
      <c r="D80" s="25">
        <v>703286</v>
      </c>
      <c r="E80" s="25">
        <v>0</v>
      </c>
      <c r="F80" s="47">
        <f t="shared" si="14"/>
        <v>703286</v>
      </c>
      <c r="G80" s="25">
        <f t="shared" si="15"/>
        <v>78947773.979999989</v>
      </c>
      <c r="H80" s="48">
        <f t="shared" si="11"/>
        <v>-4.59000410684967</v>
      </c>
      <c r="I80" s="25">
        <f>+I79+357541.78</f>
        <v>82745810.060000017</v>
      </c>
      <c r="J80" s="45"/>
      <c r="K80" s="48">
        <f t="shared" si="12"/>
        <v>15.368359176560546</v>
      </c>
      <c r="L80" s="25">
        <v>68431045.170000002</v>
      </c>
    </row>
    <row r="81" spans="2:13" x14ac:dyDescent="0.35">
      <c r="B81" s="40">
        <v>23</v>
      </c>
      <c r="C81" s="38" t="s">
        <v>80</v>
      </c>
      <c r="D81" s="25">
        <v>894425.5</v>
      </c>
      <c r="E81" s="25">
        <v>-69279</v>
      </c>
      <c r="F81" s="47">
        <f t="shared" si="14"/>
        <v>825146.5</v>
      </c>
      <c r="G81" s="25">
        <f t="shared" si="15"/>
        <v>79772920.479999989</v>
      </c>
      <c r="H81" s="48">
        <f t="shared" si="11"/>
        <v>-3.7234008147390663</v>
      </c>
      <c r="I81" s="25">
        <f>+I80+112248.03</f>
        <v>82858058.090000018</v>
      </c>
      <c r="J81" s="45"/>
      <c r="K81" s="48">
        <f t="shared" si="12"/>
        <v>16.49680056719237</v>
      </c>
      <c r="L81" s="25">
        <v>68476490.420000002</v>
      </c>
    </row>
    <row r="82" spans="2:13" x14ac:dyDescent="0.35">
      <c r="B82" s="40">
        <v>24</v>
      </c>
      <c r="C82" s="38" t="s">
        <v>75</v>
      </c>
      <c r="D82" s="25">
        <v>260755.3</v>
      </c>
      <c r="E82" s="25">
        <v>0</v>
      </c>
      <c r="F82" s="47">
        <f t="shared" si="14"/>
        <v>260755.3</v>
      </c>
      <c r="G82" s="25">
        <f t="shared" si="15"/>
        <v>80033675.779999986</v>
      </c>
      <c r="H82" s="48">
        <f t="shared" si="11"/>
        <v>-3.4659740182047196</v>
      </c>
      <c r="I82" s="25">
        <f>+I81+49160.34</f>
        <v>82907218.430000022</v>
      </c>
      <c r="J82" s="45"/>
      <c r="K82" s="48">
        <f t="shared" si="12"/>
        <v>15.926115887025244</v>
      </c>
      <c r="L82" s="25">
        <v>69038520.930000007</v>
      </c>
      <c r="M82" s="1"/>
    </row>
    <row r="83" spans="2:13" x14ac:dyDescent="0.35">
      <c r="B83" s="40">
        <v>25</v>
      </c>
      <c r="C83" s="77" t="s">
        <v>76</v>
      </c>
      <c r="D83" s="25">
        <v>374038.2</v>
      </c>
      <c r="E83" s="25">
        <v>0</v>
      </c>
      <c r="F83" s="47">
        <f t="shared" si="14"/>
        <v>374038.2</v>
      </c>
      <c r="G83" s="25">
        <f t="shared" si="15"/>
        <v>80407713.979999989</v>
      </c>
      <c r="H83" s="48">
        <f t="shared" si="11"/>
        <v>-3.0148212632539435</v>
      </c>
      <c r="I83" s="25">
        <f>+I82+0</f>
        <v>82907218.430000022</v>
      </c>
      <c r="J83" s="45"/>
      <c r="K83" s="48">
        <f t="shared" si="12"/>
        <v>16.467897771922878</v>
      </c>
      <c r="L83" s="25">
        <f>+L82+0</f>
        <v>69038520.930000007</v>
      </c>
      <c r="M83" s="1"/>
    </row>
    <row r="84" spans="2:13" x14ac:dyDescent="0.35">
      <c r="B84" s="40">
        <v>26</v>
      </c>
      <c r="C84" s="77" t="s">
        <v>77</v>
      </c>
      <c r="D84" s="105">
        <v>68990.8</v>
      </c>
      <c r="E84" s="106">
        <v>37775</v>
      </c>
      <c r="F84" s="107">
        <f t="shared" si="14"/>
        <v>106765.8</v>
      </c>
      <c r="G84" s="25">
        <f t="shared" si="15"/>
        <v>80514479.779999986</v>
      </c>
      <c r="H84" s="48">
        <f t="shared" si="11"/>
        <v>-2.8860438153769032</v>
      </c>
      <c r="I84" s="25">
        <f>+I83+0</f>
        <v>82907218.430000022</v>
      </c>
      <c r="J84" s="45"/>
      <c r="K84" s="48">
        <f t="shared" si="12"/>
        <v>16.622544480110978</v>
      </c>
      <c r="L84" s="25">
        <f>+L83+0</f>
        <v>69038520.930000007</v>
      </c>
      <c r="M84" s="1"/>
    </row>
    <row r="85" spans="2:13" x14ac:dyDescent="0.35">
      <c r="B85" s="40">
        <v>27</v>
      </c>
      <c r="C85" s="77" t="s">
        <v>81</v>
      </c>
      <c r="D85" s="115">
        <v>67033.5</v>
      </c>
      <c r="E85" s="116">
        <v>0</v>
      </c>
      <c r="F85" s="117">
        <f t="shared" si="14"/>
        <v>67033.5</v>
      </c>
      <c r="G85" s="116">
        <f t="shared" si="15"/>
        <v>80581513.279999986</v>
      </c>
      <c r="H85" s="48">
        <f t="shared" si="11"/>
        <v>-2.8051901801091885</v>
      </c>
      <c r="I85" s="25">
        <f>+I84+0</f>
        <v>82907218.430000022</v>
      </c>
      <c r="J85" s="45"/>
      <c r="K85" s="48">
        <f t="shared" si="12"/>
        <v>16.719640274019959</v>
      </c>
      <c r="L85" s="25">
        <f>+L84+0</f>
        <v>69038520.930000007</v>
      </c>
      <c r="M85" s="1"/>
    </row>
    <row r="86" spans="2:13" x14ac:dyDescent="0.35">
      <c r="B86" s="40">
        <v>28</v>
      </c>
      <c r="C86" s="77" t="s">
        <v>87</v>
      </c>
      <c r="D86" s="20">
        <v>104027</v>
      </c>
      <c r="E86" s="20">
        <v>-226630</v>
      </c>
      <c r="F86" s="43">
        <f t="shared" si="14"/>
        <v>-122603</v>
      </c>
      <c r="G86" s="118">
        <f t="shared" si="15"/>
        <v>80458910.279999986</v>
      </c>
      <c r="H86" s="48">
        <f t="shared" si="11"/>
        <v>-2.9530699453717459</v>
      </c>
      <c r="I86" s="25">
        <f>+I85+0</f>
        <v>82907218.430000022</v>
      </c>
      <c r="J86" s="45"/>
      <c r="K86" s="48">
        <f t="shared" si="12"/>
        <v>16.542053908685872</v>
      </c>
      <c r="L86" s="25">
        <f>+L85+0</f>
        <v>69038520.930000007</v>
      </c>
      <c r="M86" s="1"/>
    </row>
    <row r="87" spans="2:13" hidden="1" x14ac:dyDescent="0.35">
      <c r="B87" s="40">
        <v>29</v>
      </c>
      <c r="C87" s="17" t="s">
        <v>32</v>
      </c>
      <c r="D87" s="25"/>
      <c r="E87" s="25"/>
      <c r="F87" s="47">
        <f t="shared" ref="F87:F89" si="16">+E87+D87</f>
        <v>0</v>
      </c>
      <c r="G87" s="25">
        <f t="shared" ref="G87:G89" si="17">+G86+F87</f>
        <v>80458910.279999986</v>
      </c>
      <c r="H87" s="48">
        <v>0</v>
      </c>
      <c r="I87" s="25">
        <v>0</v>
      </c>
      <c r="J87" s="45"/>
      <c r="K87" s="48">
        <v>0</v>
      </c>
      <c r="L87" s="25">
        <v>0</v>
      </c>
      <c r="M87" s="1"/>
    </row>
    <row r="88" spans="2:13" hidden="1" x14ac:dyDescent="0.35">
      <c r="B88" s="40">
        <v>30</v>
      </c>
      <c r="C88" s="17" t="s">
        <v>33</v>
      </c>
      <c r="D88" s="25"/>
      <c r="E88" s="25"/>
      <c r="F88" s="47">
        <f t="shared" si="16"/>
        <v>0</v>
      </c>
      <c r="G88" s="25">
        <f t="shared" si="17"/>
        <v>80458910.279999986</v>
      </c>
      <c r="H88" s="48">
        <v>0</v>
      </c>
      <c r="I88" s="25">
        <v>0</v>
      </c>
      <c r="J88" s="45"/>
      <c r="K88" s="48">
        <v>0</v>
      </c>
      <c r="L88" s="25">
        <v>0</v>
      </c>
      <c r="M88" s="1"/>
    </row>
    <row r="89" spans="2:13" hidden="1" x14ac:dyDescent="0.35">
      <c r="B89" s="40">
        <v>31</v>
      </c>
      <c r="C89" s="16" t="s">
        <v>27</v>
      </c>
      <c r="D89" s="25"/>
      <c r="E89" s="25"/>
      <c r="F89" s="47">
        <f t="shared" si="16"/>
        <v>0</v>
      </c>
      <c r="G89" s="25">
        <f t="shared" si="17"/>
        <v>80458910.279999986</v>
      </c>
      <c r="H89" s="48">
        <v>0</v>
      </c>
      <c r="I89" s="25">
        <v>0</v>
      </c>
      <c r="J89" s="45"/>
      <c r="K89" s="48">
        <v>0</v>
      </c>
      <c r="L89" s="25">
        <v>0</v>
      </c>
      <c r="M89" s="1"/>
    </row>
    <row r="90" spans="2:13" hidden="1" x14ac:dyDescent="0.35">
      <c r="B90" s="40">
        <v>32</v>
      </c>
      <c r="C90" s="16" t="s">
        <v>27</v>
      </c>
      <c r="D90" s="25"/>
      <c r="E90" s="25"/>
      <c r="F90" s="47">
        <f t="shared" ref="F90:F100" si="18">+E90+D90</f>
        <v>0</v>
      </c>
      <c r="G90" s="25">
        <f>+G81+F90</f>
        <v>79772920.479999989</v>
      </c>
      <c r="H90" s="48">
        <v>0</v>
      </c>
      <c r="I90" s="25">
        <v>0</v>
      </c>
      <c r="J90" s="45"/>
      <c r="K90" s="48">
        <v>0</v>
      </c>
      <c r="L90" s="25">
        <v>0</v>
      </c>
      <c r="M90" s="1"/>
    </row>
    <row r="91" spans="2:13" hidden="1" x14ac:dyDescent="0.35">
      <c r="B91" s="40">
        <v>33</v>
      </c>
      <c r="C91" s="16" t="s">
        <v>28</v>
      </c>
      <c r="D91" s="25"/>
      <c r="E91" s="25"/>
      <c r="F91" s="47">
        <f t="shared" si="18"/>
        <v>0</v>
      </c>
      <c r="G91" s="25">
        <f t="shared" ref="G91:G98" si="19">+G90+F91</f>
        <v>79772920.479999989</v>
      </c>
      <c r="H91" s="48">
        <v>0</v>
      </c>
      <c r="I91" s="25">
        <v>0</v>
      </c>
      <c r="J91" s="45"/>
      <c r="K91" s="48">
        <v>0</v>
      </c>
      <c r="L91" s="25">
        <v>0</v>
      </c>
      <c r="M91" s="1"/>
    </row>
    <row r="92" spans="2:13" hidden="1" x14ac:dyDescent="0.35">
      <c r="B92" s="40">
        <v>34</v>
      </c>
      <c r="C92" s="16" t="s">
        <v>29</v>
      </c>
      <c r="D92" s="25"/>
      <c r="E92" s="25"/>
      <c r="F92" s="47">
        <f t="shared" si="18"/>
        <v>0</v>
      </c>
      <c r="G92" s="25">
        <f t="shared" si="19"/>
        <v>79772920.479999989</v>
      </c>
      <c r="H92" s="48">
        <v>0</v>
      </c>
      <c r="I92" s="25">
        <v>0</v>
      </c>
      <c r="J92" s="45"/>
      <c r="K92" s="48">
        <v>0</v>
      </c>
      <c r="L92" s="25">
        <v>0</v>
      </c>
      <c r="M92" s="1"/>
    </row>
    <row r="93" spans="2:13" hidden="1" x14ac:dyDescent="0.35">
      <c r="B93" s="40">
        <v>35</v>
      </c>
      <c r="C93" s="16" t="s">
        <v>30</v>
      </c>
      <c r="D93" s="25"/>
      <c r="E93" s="25"/>
      <c r="F93" s="47">
        <f t="shared" si="18"/>
        <v>0</v>
      </c>
      <c r="G93" s="25">
        <f t="shared" si="19"/>
        <v>79772920.479999989</v>
      </c>
      <c r="H93" s="48">
        <v>0</v>
      </c>
      <c r="I93" s="25">
        <v>0</v>
      </c>
      <c r="J93" s="45"/>
      <c r="K93" s="48">
        <v>0</v>
      </c>
      <c r="L93" s="25">
        <v>0</v>
      </c>
      <c r="M93" s="1"/>
    </row>
    <row r="94" spans="2:13" hidden="1" x14ac:dyDescent="0.35">
      <c r="B94" s="40">
        <v>36</v>
      </c>
      <c r="C94" s="16" t="s">
        <v>31</v>
      </c>
      <c r="D94" s="25"/>
      <c r="E94" s="25"/>
      <c r="F94" s="47">
        <f t="shared" si="18"/>
        <v>0</v>
      </c>
      <c r="G94" s="25">
        <f t="shared" si="19"/>
        <v>79772920.479999989</v>
      </c>
      <c r="H94" s="48">
        <v>0</v>
      </c>
      <c r="I94" s="25">
        <v>0</v>
      </c>
      <c r="J94" s="45"/>
      <c r="K94" s="48">
        <v>0</v>
      </c>
      <c r="L94" s="25">
        <v>0</v>
      </c>
      <c r="M94" s="1"/>
    </row>
    <row r="95" spans="2:13" hidden="1" x14ac:dyDescent="0.35">
      <c r="B95" s="40">
        <v>37</v>
      </c>
      <c r="C95" s="17" t="s">
        <v>32</v>
      </c>
      <c r="D95" s="25"/>
      <c r="E95" s="25"/>
      <c r="F95" s="47">
        <f t="shared" si="18"/>
        <v>0</v>
      </c>
      <c r="G95" s="25">
        <f t="shared" si="19"/>
        <v>79772920.479999989</v>
      </c>
      <c r="H95" s="48">
        <v>0</v>
      </c>
      <c r="I95" s="25">
        <v>0</v>
      </c>
      <c r="J95" s="45"/>
      <c r="K95" s="48">
        <v>0</v>
      </c>
      <c r="L95" s="25">
        <v>0</v>
      </c>
      <c r="M95" s="1"/>
    </row>
    <row r="96" spans="2:13" hidden="1" x14ac:dyDescent="0.35">
      <c r="B96" s="40">
        <v>38</v>
      </c>
      <c r="C96" s="17" t="s">
        <v>33</v>
      </c>
      <c r="D96" s="25"/>
      <c r="E96" s="25"/>
      <c r="F96" s="47">
        <f t="shared" si="18"/>
        <v>0</v>
      </c>
      <c r="G96" s="25">
        <f t="shared" si="19"/>
        <v>79772920.479999989</v>
      </c>
      <c r="H96" s="48">
        <v>0</v>
      </c>
      <c r="I96" s="25">
        <v>0</v>
      </c>
      <c r="J96" s="45"/>
      <c r="K96" s="48">
        <v>0</v>
      </c>
      <c r="L96" s="25">
        <v>0</v>
      </c>
      <c r="M96" s="1"/>
    </row>
    <row r="97" spans="2:15" hidden="1" x14ac:dyDescent="0.35">
      <c r="B97" s="40">
        <v>39</v>
      </c>
      <c r="C97" s="16" t="s">
        <v>27</v>
      </c>
      <c r="D97" s="25"/>
      <c r="E97" s="25"/>
      <c r="F97" s="47">
        <f t="shared" si="18"/>
        <v>0</v>
      </c>
      <c r="G97" s="25">
        <f t="shared" si="19"/>
        <v>79772920.479999989</v>
      </c>
      <c r="H97" s="48">
        <v>0</v>
      </c>
      <c r="I97" s="25">
        <v>0</v>
      </c>
      <c r="J97" s="45"/>
      <c r="K97" s="48">
        <v>0</v>
      </c>
      <c r="L97" s="25">
        <v>0</v>
      </c>
      <c r="M97" s="1"/>
    </row>
    <row r="98" spans="2:15" hidden="1" x14ac:dyDescent="0.35">
      <c r="B98" s="40">
        <v>40</v>
      </c>
      <c r="C98" s="17" t="s">
        <v>33</v>
      </c>
      <c r="D98" s="25"/>
      <c r="E98" s="25"/>
      <c r="F98" s="47">
        <f t="shared" si="18"/>
        <v>0</v>
      </c>
      <c r="G98" s="25">
        <f t="shared" si="19"/>
        <v>79772920.479999989</v>
      </c>
      <c r="H98" s="48">
        <v>0</v>
      </c>
      <c r="I98" s="25">
        <v>0</v>
      </c>
      <c r="J98" s="45"/>
      <c r="K98" s="48">
        <v>0</v>
      </c>
      <c r="L98" s="25">
        <v>0</v>
      </c>
      <c r="M98" s="1"/>
    </row>
    <row r="99" spans="2:15" hidden="1" x14ac:dyDescent="0.35">
      <c r="B99" s="40">
        <v>41</v>
      </c>
      <c r="C99" s="103"/>
      <c r="D99" s="91"/>
      <c r="E99" s="91"/>
      <c r="F99" s="92"/>
      <c r="G99" s="91"/>
      <c r="H99" s="48"/>
      <c r="I99" s="91"/>
      <c r="J99" s="45"/>
      <c r="K99" s="48"/>
      <c r="L99" s="25"/>
    </row>
    <row r="100" spans="2:15" hidden="1" x14ac:dyDescent="0.35">
      <c r="B100" s="40">
        <v>42</v>
      </c>
      <c r="C100" s="27" t="s">
        <v>33</v>
      </c>
      <c r="D100" s="31"/>
      <c r="E100" s="31"/>
      <c r="F100" s="55">
        <f t="shared" si="18"/>
        <v>0</v>
      </c>
      <c r="G100" s="31">
        <f>+G91+F100</f>
        <v>79772920.479999989</v>
      </c>
      <c r="H100" s="48" t="e">
        <f t="shared" ref="H100" si="20">((G100-I100)/I100)*100</f>
        <v>#DIV/0!</v>
      </c>
      <c r="I100" s="31">
        <v>0</v>
      </c>
      <c r="J100" s="45"/>
      <c r="K100" s="48">
        <v>0</v>
      </c>
      <c r="L100" s="25">
        <v>0</v>
      </c>
    </row>
    <row r="101" spans="2:15" x14ac:dyDescent="0.35">
      <c r="B101" s="5"/>
      <c r="C101" s="5"/>
      <c r="D101" s="6"/>
      <c r="E101" s="6"/>
      <c r="F101" s="6"/>
      <c r="G101" s="6"/>
      <c r="H101" s="6"/>
      <c r="I101" s="6"/>
      <c r="J101" s="6"/>
      <c r="M101" s="39"/>
      <c r="N101" s="39"/>
      <c r="O101" s="39"/>
    </row>
    <row r="102" spans="2:15" x14ac:dyDescent="0.35">
      <c r="B102" s="8" t="s">
        <v>34</v>
      </c>
      <c r="C102" s="5"/>
      <c r="D102" s="6"/>
      <c r="E102" s="6"/>
      <c r="F102" s="6"/>
      <c r="G102" s="6"/>
      <c r="H102" s="6"/>
      <c r="I102" s="6"/>
      <c r="J102" s="6"/>
    </row>
    <row r="103" spans="2:15" x14ac:dyDescent="0.35">
      <c r="B103" s="9" t="s">
        <v>35</v>
      </c>
      <c r="C103" s="5"/>
      <c r="D103" s="6"/>
      <c r="E103" s="6"/>
      <c r="F103" s="6"/>
      <c r="G103" s="6"/>
      <c r="H103" s="6"/>
      <c r="I103" s="6"/>
      <c r="J103" s="6"/>
    </row>
    <row r="104" spans="2:15" x14ac:dyDescent="0.35">
      <c r="B104" s="9" t="s">
        <v>36</v>
      </c>
      <c r="C104" s="5"/>
      <c r="D104" s="6"/>
      <c r="E104" s="6"/>
      <c r="F104" s="6"/>
      <c r="G104" s="6"/>
      <c r="H104" s="6"/>
      <c r="I104" s="6"/>
      <c r="J104" s="6"/>
    </row>
    <row r="105" spans="2:15" x14ac:dyDescent="0.35">
      <c r="B105" s="9" t="s">
        <v>37</v>
      </c>
      <c r="C105" s="5"/>
      <c r="D105" s="6"/>
      <c r="E105" s="6"/>
      <c r="F105" s="6"/>
      <c r="G105" s="6"/>
      <c r="H105" s="6"/>
      <c r="I105" s="6"/>
      <c r="J105" s="6"/>
    </row>
    <row r="106" spans="2:15" x14ac:dyDescent="0.35">
      <c r="B106" s="10"/>
      <c r="C106" s="10"/>
      <c r="D106" s="42"/>
      <c r="E106" s="42"/>
      <c r="F106" s="42"/>
      <c r="G106" s="42"/>
      <c r="H106" s="42"/>
      <c r="I106" s="42"/>
      <c r="J106" s="42"/>
    </row>
    <row r="107" spans="2:15" x14ac:dyDescent="0.35">
      <c r="B107" s="10"/>
      <c r="C107" s="10"/>
      <c r="D107" s="42"/>
      <c r="E107" s="42"/>
      <c r="F107" s="42"/>
      <c r="G107" s="42"/>
      <c r="H107" s="42"/>
      <c r="I107" s="42"/>
      <c r="J107" s="42"/>
    </row>
    <row r="108" spans="2:15" ht="18.5" x14ac:dyDescent="0.45">
      <c r="B108" s="10"/>
      <c r="C108" s="10"/>
      <c r="D108" s="148" t="s">
        <v>40</v>
      </c>
      <c r="E108" s="148"/>
      <c r="F108" s="148"/>
      <c r="G108" s="148"/>
      <c r="H108" s="148"/>
      <c r="I108" s="148"/>
      <c r="J108" s="42"/>
    </row>
    <row r="109" spans="2:15" s="35" customFormat="1" ht="21" x14ac:dyDescent="0.5">
      <c r="B109" s="26"/>
      <c r="C109" s="26"/>
      <c r="D109" s="149" t="s">
        <v>39</v>
      </c>
      <c r="E109" s="149"/>
      <c r="F109" s="149"/>
      <c r="G109" s="149"/>
      <c r="H109" s="149"/>
      <c r="I109" s="149"/>
      <c r="J109" s="52"/>
      <c r="K109" s="57"/>
      <c r="L109" s="57"/>
    </row>
    <row r="110" spans="2:15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</row>
    <row r="111" spans="2:15" ht="14.4" customHeight="1" x14ac:dyDescent="0.35">
      <c r="B111" s="14"/>
      <c r="C111" s="15"/>
      <c r="D111" s="142" t="s">
        <v>6</v>
      </c>
      <c r="E111" s="143"/>
      <c r="F111" s="143"/>
      <c r="G111" s="144"/>
      <c r="H111" s="129" t="s">
        <v>7</v>
      </c>
      <c r="I111" s="130"/>
      <c r="J111" s="53"/>
      <c r="K111" s="129" t="s">
        <v>8</v>
      </c>
      <c r="L111" s="130"/>
    </row>
    <row r="112" spans="2:15" ht="14.4" customHeight="1" x14ac:dyDescent="0.35">
      <c r="B112" s="12"/>
      <c r="C112" s="13"/>
      <c r="D112" s="145" t="s">
        <v>9</v>
      </c>
      <c r="E112" s="146"/>
      <c r="F112" s="146"/>
      <c r="G112" s="147"/>
      <c r="H112" s="131"/>
      <c r="I112" s="132"/>
      <c r="J112" s="53"/>
      <c r="K112" s="131"/>
      <c r="L112" s="132"/>
    </row>
    <row r="113" spans="2:14" ht="14.4" customHeight="1" x14ac:dyDescent="0.35">
      <c r="B113" s="133" t="s">
        <v>10</v>
      </c>
      <c r="C113" s="135" t="s">
        <v>11</v>
      </c>
      <c r="D113" s="51" t="s">
        <v>12</v>
      </c>
      <c r="E113" s="51" t="s">
        <v>13</v>
      </c>
      <c r="F113" s="51" t="s">
        <v>14</v>
      </c>
      <c r="G113" s="51" t="s">
        <v>15</v>
      </c>
      <c r="H113" s="124" t="s">
        <v>16</v>
      </c>
      <c r="I113" s="126" t="s">
        <v>17</v>
      </c>
      <c r="J113" s="54"/>
      <c r="K113" s="124" t="s">
        <v>18</v>
      </c>
      <c r="L113" s="126" t="s">
        <v>19</v>
      </c>
    </row>
    <row r="114" spans="2:14" ht="39.65" customHeight="1" x14ac:dyDescent="0.35">
      <c r="B114" s="134"/>
      <c r="C114" s="136"/>
      <c r="D114" s="137" t="s">
        <v>20</v>
      </c>
      <c r="E114" s="138"/>
      <c r="F114" s="138"/>
      <c r="G114" s="139"/>
      <c r="H114" s="125"/>
      <c r="I114" s="127"/>
      <c r="J114" s="54"/>
      <c r="K114" s="125"/>
      <c r="L114" s="127"/>
    </row>
    <row r="115" spans="2:14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>
        <v>0</v>
      </c>
      <c r="I115" s="20">
        <v>0</v>
      </c>
      <c r="J115" s="45"/>
      <c r="K115" s="46">
        <f t="shared" ref="K115:K139" si="21">((G115-L115)/L115)*100</f>
        <v>-100</v>
      </c>
      <c r="L115" s="22">
        <f>685181.51/3</f>
        <v>228393.83666666667</v>
      </c>
    </row>
    <row r="116" spans="2:14" x14ac:dyDescent="0.35">
      <c r="B116" s="40">
        <v>5</v>
      </c>
      <c r="C116" s="38" t="s">
        <v>22</v>
      </c>
      <c r="D116" s="25">
        <v>596772.69999999995</v>
      </c>
      <c r="E116" s="25">
        <v>0</v>
      </c>
      <c r="F116" s="47">
        <f>+E116+D116</f>
        <v>596772.69999999995</v>
      </c>
      <c r="G116" s="25">
        <f>+G115+F116</f>
        <v>596772.69999999995</v>
      </c>
      <c r="H116" s="48">
        <f t="shared" ref="H116:H139" si="22">((G116-I116)/I116)*100</f>
        <v>65.242254621055423</v>
      </c>
      <c r="I116" s="25">
        <v>361150.18</v>
      </c>
      <c r="J116" s="45"/>
      <c r="K116" s="48">
        <f t="shared" si="21"/>
        <v>-31.549397839415278</v>
      </c>
      <c r="L116" s="25">
        <f>2615489.19/3</f>
        <v>871829.73</v>
      </c>
    </row>
    <row r="117" spans="2:14" x14ac:dyDescent="0.35">
      <c r="B117" s="40">
        <v>6</v>
      </c>
      <c r="C117" s="38" t="s">
        <v>23</v>
      </c>
      <c r="D117" s="25">
        <v>827033.16</v>
      </c>
      <c r="E117" s="25">
        <v>0</v>
      </c>
      <c r="F117" s="47">
        <f>+E117+D117</f>
        <v>827033.16</v>
      </c>
      <c r="G117" s="25">
        <f t="shared" ref="G117" si="23">+G116+F117</f>
        <v>1423805.8599999999</v>
      </c>
      <c r="H117" s="48">
        <f t="shared" si="22"/>
        <v>24.524711214144862</v>
      </c>
      <c r="I117" s="25">
        <f>+I116+782242.04</f>
        <v>1143392.22</v>
      </c>
      <c r="J117" s="45"/>
      <c r="K117" s="48">
        <f t="shared" si="21"/>
        <v>-12.073941291159628</v>
      </c>
      <c r="L117" s="25">
        <f>4857965.48/3</f>
        <v>1619321.8266666669</v>
      </c>
    </row>
    <row r="118" spans="2:14" x14ac:dyDescent="0.35">
      <c r="B118" s="40">
        <v>7</v>
      </c>
      <c r="C118" s="38" t="s">
        <v>24</v>
      </c>
      <c r="D118" s="25">
        <v>573656.71</v>
      </c>
      <c r="E118" s="25">
        <v>841299</v>
      </c>
      <c r="F118" s="47">
        <f>+E118+D118</f>
        <v>1414955.71</v>
      </c>
      <c r="G118" s="25">
        <f>+G117+F118</f>
        <v>2838761.57</v>
      </c>
      <c r="H118" s="48">
        <f t="shared" si="22"/>
        <v>41.957435106063876</v>
      </c>
      <c r="I118" s="25">
        <f>+I117+856335.07</f>
        <v>1999727.29</v>
      </c>
      <c r="J118" s="45"/>
      <c r="K118" s="48">
        <f t="shared" si="21"/>
        <v>6.236940955614438</v>
      </c>
      <c r="L118" s="25">
        <f>8016312.06/3</f>
        <v>2672104.02</v>
      </c>
      <c r="N118" s="39"/>
    </row>
    <row r="119" spans="2:14" x14ac:dyDescent="0.35">
      <c r="B119" s="40">
        <v>8</v>
      </c>
      <c r="C119" s="38" t="s">
        <v>25</v>
      </c>
      <c r="D119" s="25">
        <v>1177667.52</v>
      </c>
      <c r="E119" s="25">
        <v>0</v>
      </c>
      <c r="F119" s="47">
        <f t="shared" ref="F119:F139" si="24">+E119+D119</f>
        <v>1177667.52</v>
      </c>
      <c r="G119" s="25">
        <f t="shared" ref="G119:G139" si="25">+G118+F119</f>
        <v>4016429.09</v>
      </c>
      <c r="H119" s="48">
        <f t="shared" si="22"/>
        <v>6.9478655325499741</v>
      </c>
      <c r="I119" s="25">
        <v>3755501.87</v>
      </c>
      <c r="J119" s="45"/>
      <c r="K119" s="48">
        <f t="shared" si="21"/>
        <v>2.4628347165498843</v>
      </c>
      <c r="L119" s="25">
        <f>11759666.13/3</f>
        <v>3919888.7100000004</v>
      </c>
    </row>
    <row r="120" spans="2:14" x14ac:dyDescent="0.35">
      <c r="B120" s="40">
        <v>9</v>
      </c>
      <c r="C120" s="38" t="s">
        <v>26</v>
      </c>
      <c r="D120" s="25">
        <v>1339953.24</v>
      </c>
      <c r="E120" s="25">
        <v>-3035</v>
      </c>
      <c r="F120" s="47">
        <f t="shared" si="24"/>
        <v>1336918.24</v>
      </c>
      <c r="G120" s="25">
        <f t="shared" si="25"/>
        <v>5353347.33</v>
      </c>
      <c r="H120" s="48">
        <f t="shared" si="22"/>
        <v>11.279724559039513</v>
      </c>
      <c r="I120" s="25">
        <v>4810712.24</v>
      </c>
      <c r="J120" s="45"/>
      <c r="K120" s="48">
        <f t="shared" si="21"/>
        <v>-1.1809340370922417</v>
      </c>
      <c r="L120" s="25">
        <f>16251967/3</f>
        <v>5417322.333333333</v>
      </c>
    </row>
    <row r="121" spans="2:14" x14ac:dyDescent="0.35">
      <c r="B121" s="40">
        <v>10</v>
      </c>
      <c r="C121" s="38" t="s">
        <v>62</v>
      </c>
      <c r="D121" s="25">
        <v>2024695.08</v>
      </c>
      <c r="E121" s="25">
        <v>0</v>
      </c>
      <c r="F121" s="47">
        <f t="shared" si="24"/>
        <v>2024695.08</v>
      </c>
      <c r="G121" s="25">
        <f t="shared" si="25"/>
        <v>7378042.4100000001</v>
      </c>
      <c r="H121" s="48">
        <f t="shared" si="22"/>
        <v>9.6182481319378006</v>
      </c>
      <c r="I121" s="25">
        <v>6730669.8799999999</v>
      </c>
      <c r="J121" s="45"/>
      <c r="K121" s="48">
        <f t="shared" si="21"/>
        <v>3.9999096680414583</v>
      </c>
      <c r="L121" s="25">
        <v>7094277.71</v>
      </c>
    </row>
    <row r="122" spans="2:14" x14ac:dyDescent="0.35">
      <c r="B122" s="40">
        <v>11</v>
      </c>
      <c r="C122" s="38" t="s">
        <v>63</v>
      </c>
      <c r="D122" s="25">
        <v>2284043.61</v>
      </c>
      <c r="E122" s="25">
        <v>0</v>
      </c>
      <c r="F122" s="47">
        <f t="shared" si="24"/>
        <v>2284043.61</v>
      </c>
      <c r="G122" s="25">
        <f t="shared" si="25"/>
        <v>9662086.0199999996</v>
      </c>
      <c r="H122" s="48">
        <f t="shared" si="22"/>
        <v>10.06428310902513</v>
      </c>
      <c r="I122" s="25">
        <f>+I121+2047914.55</f>
        <v>8778584.4299999997</v>
      </c>
      <c r="J122" s="45"/>
      <c r="K122" s="48">
        <f t="shared" si="21"/>
        <v>11.082516387255763</v>
      </c>
      <c r="L122" s="25">
        <v>8698115.9000000004</v>
      </c>
    </row>
    <row r="123" spans="2:14" x14ac:dyDescent="0.35">
      <c r="B123" s="40">
        <v>12</v>
      </c>
      <c r="C123" s="38" t="s">
        <v>78</v>
      </c>
      <c r="D123" s="25">
        <v>2531578.66</v>
      </c>
      <c r="E123" s="25">
        <v>0</v>
      </c>
      <c r="F123" s="47">
        <f t="shared" si="24"/>
        <v>2531578.66</v>
      </c>
      <c r="G123" s="25">
        <f t="shared" si="25"/>
        <v>12193664.68</v>
      </c>
      <c r="H123" s="48">
        <f t="shared" si="22"/>
        <v>12.263991714435464</v>
      </c>
      <c r="I123" s="25">
        <v>10861599.07</v>
      </c>
      <c r="J123" s="45"/>
      <c r="K123" s="48">
        <f t="shared" si="21"/>
        <v>20.52846715842751</v>
      </c>
      <c r="L123" s="25">
        <v>10116833.779999999</v>
      </c>
    </row>
    <row r="124" spans="2:14" x14ac:dyDescent="0.35">
      <c r="B124" s="40">
        <v>13</v>
      </c>
      <c r="C124" s="38" t="s">
        <v>64</v>
      </c>
      <c r="D124" s="25">
        <v>2051047.19</v>
      </c>
      <c r="E124" s="25">
        <v>12755</v>
      </c>
      <c r="F124" s="47">
        <f t="shared" si="24"/>
        <v>2063802.19</v>
      </c>
      <c r="G124" s="25">
        <f t="shared" si="25"/>
        <v>14257466.869999999</v>
      </c>
      <c r="H124" s="48">
        <f t="shared" si="22"/>
        <v>18.91649068847892</v>
      </c>
      <c r="I124" s="25">
        <v>11989478.32</v>
      </c>
      <c r="J124" s="45"/>
      <c r="K124" s="48">
        <f t="shared" si="21"/>
        <v>30.931597835279788</v>
      </c>
      <c r="L124" s="25">
        <v>10889248.359999999</v>
      </c>
    </row>
    <row r="125" spans="2:14" x14ac:dyDescent="0.35">
      <c r="B125" s="40">
        <v>14</v>
      </c>
      <c r="C125" s="58" t="s">
        <v>65</v>
      </c>
      <c r="D125" s="25">
        <v>419819.56</v>
      </c>
      <c r="E125" s="25">
        <v>0</v>
      </c>
      <c r="F125" s="47">
        <f t="shared" si="24"/>
        <v>419819.56</v>
      </c>
      <c r="G125" s="25">
        <f t="shared" si="25"/>
        <v>14677286.43</v>
      </c>
      <c r="H125" s="48">
        <f t="shared" si="22"/>
        <v>15.699849065054785</v>
      </c>
      <c r="I125" s="25">
        <f>+I124+696179.05</f>
        <v>12685657.370000001</v>
      </c>
      <c r="J125" s="45"/>
      <c r="K125" s="48">
        <f t="shared" si="21"/>
        <v>27.53003342101858</v>
      </c>
      <c r="L125" s="25">
        <v>11508886.210000001</v>
      </c>
    </row>
    <row r="126" spans="2:14" x14ac:dyDescent="0.35">
      <c r="B126" s="40">
        <v>15</v>
      </c>
      <c r="C126" s="38" t="s">
        <v>66</v>
      </c>
      <c r="D126" s="25">
        <v>594634.5</v>
      </c>
      <c r="E126" s="25">
        <v>0</v>
      </c>
      <c r="F126" s="47">
        <f t="shared" si="24"/>
        <v>594634.5</v>
      </c>
      <c r="G126" s="25">
        <f t="shared" si="25"/>
        <v>15271920.93</v>
      </c>
      <c r="H126" s="48">
        <f t="shared" si="22"/>
        <v>14.068459086904289</v>
      </c>
      <c r="I126" s="25">
        <f>+I125+702724.53</f>
        <v>13388381.9</v>
      </c>
      <c r="J126" s="45"/>
      <c r="K126" s="48">
        <f t="shared" si="21"/>
        <v>25.58454704014602</v>
      </c>
      <c r="L126" s="25">
        <v>12160668.880000001</v>
      </c>
    </row>
    <row r="127" spans="2:14" x14ac:dyDescent="0.35">
      <c r="B127" s="40">
        <v>16</v>
      </c>
      <c r="C127" s="38" t="s">
        <v>67</v>
      </c>
      <c r="D127" s="25">
        <v>673206.57</v>
      </c>
      <c r="E127" s="25">
        <v>0</v>
      </c>
      <c r="F127" s="47">
        <f t="shared" si="24"/>
        <v>673206.57</v>
      </c>
      <c r="G127" s="25">
        <f t="shared" si="25"/>
        <v>15945127.5</v>
      </c>
      <c r="H127" s="48">
        <f t="shared" si="22"/>
        <v>14.742106160805873</v>
      </c>
      <c r="I127" s="25">
        <v>13896491.91</v>
      </c>
      <c r="J127" s="45"/>
      <c r="K127" s="48">
        <f t="shared" si="21"/>
        <v>26.651122367989604</v>
      </c>
      <c r="L127" s="25">
        <v>12589803.550000001</v>
      </c>
    </row>
    <row r="128" spans="2:14" x14ac:dyDescent="0.35">
      <c r="B128" s="40">
        <v>17</v>
      </c>
      <c r="C128" s="38" t="s">
        <v>68</v>
      </c>
      <c r="D128" s="25">
        <v>399210.61</v>
      </c>
      <c r="E128" s="25">
        <v>0</v>
      </c>
      <c r="F128" s="47">
        <f t="shared" si="24"/>
        <v>399210.61</v>
      </c>
      <c r="G128" s="25">
        <f t="shared" si="25"/>
        <v>16344338.109999999</v>
      </c>
      <c r="H128" s="48">
        <f t="shared" si="22"/>
        <v>11.9108363160154</v>
      </c>
      <c r="I128" s="25">
        <f>+I127+708294.05</f>
        <v>14604785.960000001</v>
      </c>
      <c r="J128" s="45"/>
      <c r="K128" s="48">
        <f t="shared" si="21"/>
        <v>25.44529075402583</v>
      </c>
      <c r="L128" s="25">
        <v>13029056.74</v>
      </c>
    </row>
    <row r="129" spans="2:13" x14ac:dyDescent="0.35">
      <c r="B129" s="40">
        <v>18</v>
      </c>
      <c r="C129" s="38" t="s">
        <v>69</v>
      </c>
      <c r="D129" s="25">
        <v>257037.54</v>
      </c>
      <c r="E129" s="25">
        <v>0</v>
      </c>
      <c r="F129" s="47">
        <f t="shared" si="24"/>
        <v>257037.54</v>
      </c>
      <c r="G129" s="25">
        <f t="shared" si="25"/>
        <v>16601375.649999999</v>
      </c>
      <c r="H129" s="48">
        <f t="shared" si="22"/>
        <v>10.135695284820072</v>
      </c>
      <c r="I129" s="25">
        <f>+I128+468779.07</f>
        <v>15073565.030000001</v>
      </c>
      <c r="J129" s="45"/>
      <c r="K129" s="48">
        <f t="shared" si="21"/>
        <v>25.500389065837659</v>
      </c>
      <c r="L129" s="25">
        <v>13228146.76</v>
      </c>
    </row>
    <row r="130" spans="2:13" x14ac:dyDescent="0.35">
      <c r="B130" s="40">
        <v>19</v>
      </c>
      <c r="C130" s="38" t="s">
        <v>70</v>
      </c>
      <c r="D130" s="25">
        <v>247970.5</v>
      </c>
      <c r="E130" s="25">
        <v>0</v>
      </c>
      <c r="F130" s="47">
        <f t="shared" si="24"/>
        <v>247970.5</v>
      </c>
      <c r="G130" s="25">
        <f t="shared" si="25"/>
        <v>16849346.149999999</v>
      </c>
      <c r="H130" s="48">
        <f t="shared" si="22"/>
        <v>9.2046896094457633</v>
      </c>
      <c r="I130" s="25">
        <f>+I129+355576.53</f>
        <v>15429141.560000001</v>
      </c>
      <c r="J130" s="45"/>
      <c r="K130" s="48">
        <f t="shared" si="21"/>
        <v>25.694468465846438</v>
      </c>
      <c r="L130" s="25">
        <v>13405002.109999999</v>
      </c>
    </row>
    <row r="131" spans="2:13" x14ac:dyDescent="0.35">
      <c r="B131" s="40">
        <v>20</v>
      </c>
      <c r="C131" s="38" t="s">
        <v>71</v>
      </c>
      <c r="D131" s="25">
        <v>8332</v>
      </c>
      <c r="E131" s="25">
        <v>0</v>
      </c>
      <c r="F131" s="47">
        <f t="shared" si="24"/>
        <v>8332</v>
      </c>
      <c r="G131" s="25">
        <f t="shared" si="25"/>
        <v>16857678.149999999</v>
      </c>
      <c r="H131" s="48">
        <f t="shared" si="22"/>
        <v>7.9364899120930144</v>
      </c>
      <c r="I131" s="25">
        <f>+I130+189004.04</f>
        <v>15618145.6</v>
      </c>
      <c r="J131" s="45"/>
      <c r="K131" s="48">
        <f t="shared" si="21"/>
        <v>23.355556190077778</v>
      </c>
      <c r="L131" s="25">
        <v>13665925.289999999</v>
      </c>
    </row>
    <row r="132" spans="2:13" x14ac:dyDescent="0.35">
      <c r="B132" s="40">
        <v>21</v>
      </c>
      <c r="C132" s="38" t="s">
        <v>72</v>
      </c>
      <c r="D132" s="25">
        <v>8028.25</v>
      </c>
      <c r="E132" s="25">
        <v>0</v>
      </c>
      <c r="F132" s="47">
        <f t="shared" si="24"/>
        <v>8028.25</v>
      </c>
      <c r="G132" s="25">
        <f t="shared" si="25"/>
        <v>16865706.399999999</v>
      </c>
      <c r="H132" s="48">
        <f t="shared" si="22"/>
        <v>7.7092950571440433</v>
      </c>
      <c r="I132" s="25">
        <f>+I131+40397.51</f>
        <v>15658543.109999999</v>
      </c>
      <c r="J132" s="45"/>
      <c r="K132" s="48">
        <f t="shared" si="21"/>
        <v>21.577408598699432</v>
      </c>
      <c r="L132" s="25">
        <v>13872401.619999999</v>
      </c>
    </row>
    <row r="133" spans="2:13" x14ac:dyDescent="0.35">
      <c r="B133" s="40">
        <v>22</v>
      </c>
      <c r="C133" s="38" t="s">
        <v>79</v>
      </c>
      <c r="D133" s="25">
        <v>176011.51</v>
      </c>
      <c r="E133" s="25">
        <v>0</v>
      </c>
      <c r="F133" s="47">
        <f t="shared" si="24"/>
        <v>176011.51</v>
      </c>
      <c r="G133" s="25">
        <f t="shared" si="25"/>
        <v>17041717.91</v>
      </c>
      <c r="H133" s="48">
        <f t="shared" si="22"/>
        <v>8.6419206114411935</v>
      </c>
      <c r="I133" s="25">
        <f>+I132+27591.5</f>
        <v>15686134.609999999</v>
      </c>
      <c r="J133" s="45"/>
      <c r="K133" s="48">
        <f t="shared" si="21"/>
        <v>21.811145988124451</v>
      </c>
      <c r="L133" s="25">
        <v>13990277.960000001</v>
      </c>
    </row>
    <row r="134" spans="2:13" x14ac:dyDescent="0.35">
      <c r="B134" s="40">
        <v>23</v>
      </c>
      <c r="C134" s="38" t="s">
        <v>80</v>
      </c>
      <c r="D134" s="25">
        <v>24326.49</v>
      </c>
      <c r="E134" s="25">
        <v>4968</v>
      </c>
      <c r="F134" s="47">
        <f t="shared" si="24"/>
        <v>29294.49</v>
      </c>
      <c r="G134" s="25">
        <f t="shared" si="25"/>
        <v>17071012.399999999</v>
      </c>
      <c r="H134" s="48">
        <f t="shared" si="22"/>
        <v>8.828674650778094</v>
      </c>
      <c r="I134" s="25">
        <f>+I133+0</f>
        <v>15686134.609999999</v>
      </c>
      <c r="J134" s="45"/>
      <c r="K134" s="48">
        <f t="shared" si="21"/>
        <v>22.02053775349005</v>
      </c>
      <c r="L134" s="25">
        <f>+L133+0</f>
        <v>13990277.960000001</v>
      </c>
    </row>
    <row r="135" spans="2:13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24"/>
        <v>0</v>
      </c>
      <c r="G135" s="25">
        <f t="shared" si="25"/>
        <v>17071012.399999999</v>
      </c>
      <c r="H135" s="48">
        <f t="shared" si="22"/>
        <v>6.8944708938023043</v>
      </c>
      <c r="I135" s="25">
        <f>+I134+283833.02</f>
        <v>15969967.629999999</v>
      </c>
      <c r="J135" s="45"/>
      <c r="K135" s="48">
        <f t="shared" si="21"/>
        <v>18.094781804089603</v>
      </c>
      <c r="L135" s="25">
        <v>14455348.609999999</v>
      </c>
      <c r="M135" s="1"/>
    </row>
    <row r="136" spans="2:13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24"/>
        <v>0</v>
      </c>
      <c r="G136" s="25">
        <f t="shared" si="25"/>
        <v>17071012.399999999</v>
      </c>
      <c r="H136" s="48">
        <f t="shared" si="22"/>
        <v>6.8944708938023043</v>
      </c>
      <c r="I136" s="25">
        <f>+I135+0</f>
        <v>15969967.629999999</v>
      </c>
      <c r="J136" s="45"/>
      <c r="K136" s="48">
        <f t="shared" si="21"/>
        <v>18.094781804089603</v>
      </c>
      <c r="L136" s="25">
        <f>+L135+0</f>
        <v>14455348.609999999</v>
      </c>
      <c r="M136" s="1"/>
    </row>
    <row r="137" spans="2:13" x14ac:dyDescent="0.35">
      <c r="B137" s="40">
        <v>26</v>
      </c>
      <c r="C137" s="77" t="s">
        <v>77</v>
      </c>
      <c r="D137" s="105">
        <v>0</v>
      </c>
      <c r="E137" s="106">
        <v>0</v>
      </c>
      <c r="F137" s="107">
        <f t="shared" si="24"/>
        <v>0</v>
      </c>
      <c r="G137" s="106">
        <f t="shared" si="25"/>
        <v>17071012.399999999</v>
      </c>
      <c r="H137" s="48">
        <f t="shared" si="22"/>
        <v>6.8944708938023043</v>
      </c>
      <c r="I137" s="25">
        <f>+I136+0</f>
        <v>15969967.629999999</v>
      </c>
      <c r="J137" s="45"/>
      <c r="K137" s="48">
        <f t="shared" si="21"/>
        <v>18.094781804089603</v>
      </c>
      <c r="L137" s="25">
        <f>+L136+0</f>
        <v>14455348.609999999</v>
      </c>
      <c r="M137" s="1"/>
    </row>
    <row r="138" spans="2:13" x14ac:dyDescent="0.35">
      <c r="B138" s="40">
        <v>27</v>
      </c>
      <c r="C138" s="77" t="s">
        <v>81</v>
      </c>
      <c r="D138" s="119">
        <v>0</v>
      </c>
      <c r="E138" s="120">
        <v>0</v>
      </c>
      <c r="F138" s="121">
        <f t="shared" si="24"/>
        <v>0</v>
      </c>
      <c r="G138" s="120">
        <f t="shared" si="25"/>
        <v>17071012.399999999</v>
      </c>
      <c r="H138" s="48">
        <f t="shared" si="22"/>
        <v>6.8944708938023043</v>
      </c>
      <c r="I138" s="25">
        <f>+I137+0</f>
        <v>15969967.629999999</v>
      </c>
      <c r="J138" s="45"/>
      <c r="K138" s="48">
        <f t="shared" si="21"/>
        <v>18.094781804089603</v>
      </c>
      <c r="L138" s="25">
        <f>+L137+0</f>
        <v>14455348.609999999</v>
      </c>
      <c r="M138" s="1"/>
    </row>
    <row r="139" spans="2:13" x14ac:dyDescent="0.35">
      <c r="B139" s="40">
        <v>28</v>
      </c>
      <c r="C139" s="77" t="s">
        <v>87</v>
      </c>
      <c r="D139" s="20">
        <v>0</v>
      </c>
      <c r="E139" s="20">
        <v>1123588</v>
      </c>
      <c r="F139" s="43">
        <f t="shared" si="24"/>
        <v>1123588</v>
      </c>
      <c r="G139" s="122">
        <f t="shared" si="25"/>
        <v>18194600.399999999</v>
      </c>
      <c r="H139" s="48">
        <f t="shared" si="22"/>
        <v>13.930101935967414</v>
      </c>
      <c r="I139" s="25">
        <f>+I138+0</f>
        <v>15969967.629999999</v>
      </c>
      <c r="J139" s="45"/>
      <c r="K139" s="48">
        <f t="shared" si="21"/>
        <v>25.867600228009991</v>
      </c>
      <c r="L139" s="25">
        <f>+L138+0</f>
        <v>14455348.609999999</v>
      </c>
      <c r="M139" s="1"/>
    </row>
    <row r="140" spans="2:13" hidden="1" x14ac:dyDescent="0.35">
      <c r="B140" s="40">
        <v>29</v>
      </c>
      <c r="C140" s="17" t="s">
        <v>32</v>
      </c>
      <c r="D140" s="25"/>
      <c r="E140" s="25"/>
      <c r="F140" s="47">
        <f t="shared" ref="F140:F153" si="26">+E140+D140</f>
        <v>0</v>
      </c>
      <c r="G140" s="25">
        <f t="shared" ref="G140:G142" si="27">+G139+F140</f>
        <v>18194600.399999999</v>
      </c>
      <c r="H140" s="48">
        <v>0</v>
      </c>
      <c r="I140" s="25">
        <v>0</v>
      </c>
      <c r="J140" s="45"/>
      <c r="K140" s="48">
        <v>0</v>
      </c>
      <c r="L140" s="25">
        <v>0</v>
      </c>
      <c r="M140" s="1"/>
    </row>
    <row r="141" spans="2:13" hidden="1" x14ac:dyDescent="0.35">
      <c r="B141" s="40">
        <v>30</v>
      </c>
      <c r="C141" s="17" t="s">
        <v>33</v>
      </c>
      <c r="D141" s="25"/>
      <c r="E141" s="25"/>
      <c r="F141" s="47">
        <f t="shared" si="26"/>
        <v>0</v>
      </c>
      <c r="G141" s="25">
        <f t="shared" si="27"/>
        <v>18194600.399999999</v>
      </c>
      <c r="H141" s="48">
        <v>0</v>
      </c>
      <c r="I141" s="25">
        <v>0</v>
      </c>
      <c r="J141" s="45"/>
      <c r="K141" s="48">
        <v>0</v>
      </c>
      <c r="L141" s="25">
        <v>0</v>
      </c>
      <c r="M141" s="1"/>
    </row>
    <row r="142" spans="2:13" hidden="1" x14ac:dyDescent="0.35">
      <c r="B142" s="40">
        <v>31</v>
      </c>
      <c r="C142" s="16" t="s">
        <v>27</v>
      </c>
      <c r="D142" s="25"/>
      <c r="E142" s="25"/>
      <c r="F142" s="47">
        <f t="shared" si="26"/>
        <v>0</v>
      </c>
      <c r="G142" s="25">
        <f t="shared" si="27"/>
        <v>18194600.399999999</v>
      </c>
      <c r="H142" s="48">
        <v>0</v>
      </c>
      <c r="I142" s="25">
        <v>0</v>
      </c>
      <c r="J142" s="45"/>
      <c r="K142" s="48">
        <v>0</v>
      </c>
      <c r="L142" s="25">
        <v>0</v>
      </c>
      <c r="M142" s="1"/>
    </row>
    <row r="143" spans="2:13" hidden="1" x14ac:dyDescent="0.35">
      <c r="B143" s="40">
        <v>32</v>
      </c>
      <c r="C143" s="16" t="s">
        <v>31</v>
      </c>
      <c r="D143" s="25"/>
      <c r="E143" s="25"/>
      <c r="F143" s="47">
        <f t="shared" si="26"/>
        <v>0</v>
      </c>
      <c r="G143" s="25">
        <f>+G134+F143</f>
        <v>17071012.399999999</v>
      </c>
      <c r="H143" s="48">
        <v>0</v>
      </c>
      <c r="I143" s="25">
        <v>0</v>
      </c>
      <c r="J143" s="45"/>
      <c r="K143" s="48">
        <v>0</v>
      </c>
      <c r="L143" s="25">
        <v>0</v>
      </c>
    </row>
    <row r="144" spans="2:13" hidden="1" x14ac:dyDescent="0.35">
      <c r="B144" s="40">
        <v>33</v>
      </c>
      <c r="C144" s="17" t="s">
        <v>32</v>
      </c>
      <c r="D144" s="25"/>
      <c r="E144" s="25"/>
      <c r="F144" s="47">
        <f t="shared" si="26"/>
        <v>0</v>
      </c>
      <c r="G144" s="25">
        <f t="shared" ref="G144:G151" si="28">+G143+F144</f>
        <v>17071012.399999999</v>
      </c>
      <c r="H144" s="48">
        <v>0</v>
      </c>
      <c r="I144" s="25">
        <v>0</v>
      </c>
      <c r="J144" s="45"/>
      <c r="K144" s="48">
        <v>0</v>
      </c>
      <c r="L144" s="25">
        <v>0</v>
      </c>
    </row>
    <row r="145" spans="2:13" hidden="1" x14ac:dyDescent="0.35">
      <c r="B145" s="40">
        <v>34</v>
      </c>
      <c r="C145" s="16" t="s">
        <v>27</v>
      </c>
      <c r="D145" s="25"/>
      <c r="E145" s="25"/>
      <c r="F145" s="47">
        <f t="shared" si="26"/>
        <v>0</v>
      </c>
      <c r="G145" s="25">
        <f t="shared" si="28"/>
        <v>17071012.399999999</v>
      </c>
      <c r="H145" s="48">
        <v>0</v>
      </c>
      <c r="I145" s="25">
        <v>0</v>
      </c>
      <c r="J145" s="45"/>
      <c r="K145" s="48">
        <v>0</v>
      </c>
      <c r="L145" s="25">
        <v>0</v>
      </c>
      <c r="M145" s="1"/>
    </row>
    <row r="146" spans="2:13" hidden="1" x14ac:dyDescent="0.35">
      <c r="B146" s="40">
        <v>35</v>
      </c>
      <c r="C146" s="16" t="s">
        <v>28</v>
      </c>
      <c r="D146" s="25"/>
      <c r="E146" s="25"/>
      <c r="F146" s="47">
        <f t="shared" si="26"/>
        <v>0</v>
      </c>
      <c r="G146" s="25">
        <f t="shared" si="28"/>
        <v>17071012.399999999</v>
      </c>
      <c r="H146" s="48">
        <v>0</v>
      </c>
      <c r="I146" s="25">
        <v>0</v>
      </c>
      <c r="J146" s="45"/>
      <c r="K146" s="48">
        <v>0</v>
      </c>
      <c r="L146" s="25">
        <v>0</v>
      </c>
      <c r="M146" s="1"/>
    </row>
    <row r="147" spans="2:13" hidden="1" x14ac:dyDescent="0.35">
      <c r="B147" s="40">
        <v>36</v>
      </c>
      <c r="C147" s="16" t="s">
        <v>29</v>
      </c>
      <c r="D147" s="25"/>
      <c r="E147" s="25"/>
      <c r="F147" s="47">
        <f t="shared" si="26"/>
        <v>0</v>
      </c>
      <c r="G147" s="25">
        <f t="shared" si="28"/>
        <v>17071012.399999999</v>
      </c>
      <c r="H147" s="48">
        <v>0</v>
      </c>
      <c r="I147" s="25">
        <v>0</v>
      </c>
      <c r="J147" s="45"/>
      <c r="K147" s="48">
        <v>0</v>
      </c>
      <c r="L147" s="25">
        <v>0</v>
      </c>
      <c r="M147" s="1"/>
    </row>
    <row r="148" spans="2:13" hidden="1" x14ac:dyDescent="0.35">
      <c r="B148" s="40">
        <v>37</v>
      </c>
      <c r="C148" s="16" t="s">
        <v>30</v>
      </c>
      <c r="D148" s="25"/>
      <c r="E148" s="25"/>
      <c r="F148" s="47">
        <f t="shared" si="26"/>
        <v>0</v>
      </c>
      <c r="G148" s="25">
        <f t="shared" si="28"/>
        <v>17071012.399999999</v>
      </c>
      <c r="H148" s="48">
        <v>0</v>
      </c>
      <c r="I148" s="25">
        <v>0</v>
      </c>
      <c r="J148" s="45"/>
      <c r="K148" s="48">
        <v>0</v>
      </c>
      <c r="L148" s="25">
        <v>0</v>
      </c>
      <c r="M148" s="1"/>
    </row>
    <row r="149" spans="2:13" hidden="1" x14ac:dyDescent="0.35">
      <c r="B149" s="40">
        <v>38</v>
      </c>
      <c r="C149" s="16" t="s">
        <v>31</v>
      </c>
      <c r="D149" s="25"/>
      <c r="E149" s="25"/>
      <c r="F149" s="47">
        <f t="shared" si="26"/>
        <v>0</v>
      </c>
      <c r="G149" s="25">
        <f t="shared" si="28"/>
        <v>17071012.399999999</v>
      </c>
      <c r="H149" s="48">
        <v>0</v>
      </c>
      <c r="I149" s="25">
        <v>0</v>
      </c>
      <c r="J149" s="45"/>
      <c r="K149" s="48">
        <v>0</v>
      </c>
      <c r="L149" s="25">
        <v>0</v>
      </c>
      <c r="M149" s="1"/>
    </row>
    <row r="150" spans="2:13" hidden="1" x14ac:dyDescent="0.35">
      <c r="B150" s="40">
        <v>39</v>
      </c>
      <c r="C150" s="17" t="s">
        <v>32</v>
      </c>
      <c r="D150" s="25"/>
      <c r="E150" s="25"/>
      <c r="F150" s="47">
        <f t="shared" si="26"/>
        <v>0</v>
      </c>
      <c r="G150" s="25">
        <f t="shared" si="28"/>
        <v>17071012.399999999</v>
      </c>
      <c r="H150" s="48">
        <v>0</v>
      </c>
      <c r="I150" s="25">
        <v>0</v>
      </c>
      <c r="J150" s="45"/>
      <c r="K150" s="48">
        <v>0</v>
      </c>
      <c r="L150" s="25">
        <v>0</v>
      </c>
      <c r="M150" s="1"/>
    </row>
    <row r="151" spans="2:13" hidden="1" x14ac:dyDescent="0.35">
      <c r="B151" s="40">
        <v>40</v>
      </c>
      <c r="C151" s="17" t="s">
        <v>33</v>
      </c>
      <c r="D151" s="25"/>
      <c r="E151" s="25"/>
      <c r="F151" s="47">
        <f t="shared" si="26"/>
        <v>0</v>
      </c>
      <c r="G151" s="25">
        <f t="shared" si="28"/>
        <v>17071012.399999999</v>
      </c>
      <c r="H151" s="48">
        <v>0</v>
      </c>
      <c r="I151" s="25">
        <v>0</v>
      </c>
      <c r="J151" s="45"/>
      <c r="K151" s="48">
        <v>0</v>
      </c>
      <c r="L151" s="25">
        <v>0</v>
      </c>
      <c r="M151" s="1"/>
    </row>
    <row r="152" spans="2:13" hidden="1" x14ac:dyDescent="0.35">
      <c r="B152" s="40">
        <v>41</v>
      </c>
      <c r="C152" s="103"/>
      <c r="D152" s="91"/>
      <c r="E152" s="91"/>
      <c r="F152" s="92"/>
      <c r="G152" s="91"/>
      <c r="H152" s="104"/>
      <c r="I152" s="91"/>
      <c r="J152" s="45"/>
      <c r="K152" s="48"/>
      <c r="L152" s="25"/>
      <c r="M152" s="1"/>
    </row>
    <row r="153" spans="2:13" hidden="1" x14ac:dyDescent="0.35">
      <c r="B153" s="40">
        <v>42</v>
      </c>
      <c r="C153" s="27" t="s">
        <v>33</v>
      </c>
      <c r="D153" s="31"/>
      <c r="E153" s="31"/>
      <c r="F153" s="55">
        <f t="shared" si="26"/>
        <v>0</v>
      </c>
      <c r="G153" s="31">
        <f>+G144+F153</f>
        <v>17071012.399999999</v>
      </c>
      <c r="H153" s="56">
        <v>0</v>
      </c>
      <c r="I153" s="31">
        <v>0</v>
      </c>
      <c r="J153" s="45"/>
      <c r="K153" s="48">
        <v>0</v>
      </c>
      <c r="L153" s="25">
        <v>0</v>
      </c>
    </row>
    <row r="154" spans="2:13" x14ac:dyDescent="0.35">
      <c r="B154" s="5"/>
      <c r="C154" s="5"/>
      <c r="D154" s="6"/>
      <c r="E154" s="6"/>
      <c r="F154" s="6"/>
      <c r="G154" s="6"/>
      <c r="H154" s="6"/>
      <c r="I154" s="6"/>
      <c r="J154" s="6"/>
    </row>
    <row r="155" spans="2:13" x14ac:dyDescent="0.35">
      <c r="B155" s="8" t="s">
        <v>34</v>
      </c>
      <c r="C155" s="5"/>
      <c r="D155" s="6"/>
      <c r="E155" s="6"/>
      <c r="F155" s="6"/>
      <c r="G155" s="6"/>
      <c r="H155" s="6"/>
      <c r="I155" s="6"/>
      <c r="J155" s="6"/>
    </row>
    <row r="156" spans="2:13" x14ac:dyDescent="0.35">
      <c r="B156" s="9" t="s">
        <v>35</v>
      </c>
      <c r="C156" s="5"/>
      <c r="D156" s="6"/>
      <c r="E156" s="6"/>
      <c r="F156" s="6"/>
      <c r="G156" s="6"/>
      <c r="H156" s="6"/>
      <c r="I156" s="6"/>
      <c r="J156" s="6"/>
    </row>
    <row r="157" spans="2:13" x14ac:dyDescent="0.35">
      <c r="B157" s="9" t="s">
        <v>36</v>
      </c>
      <c r="C157" s="5"/>
      <c r="D157" s="6"/>
      <c r="E157" s="6"/>
      <c r="F157" s="6"/>
      <c r="G157" s="6"/>
      <c r="H157" s="6"/>
      <c r="I157" s="6"/>
      <c r="J157" s="6"/>
    </row>
    <row r="158" spans="2:13" x14ac:dyDescent="0.35">
      <c r="B158" s="9" t="s">
        <v>37</v>
      </c>
      <c r="C158" s="5"/>
      <c r="D158" s="6"/>
      <c r="E158" s="6"/>
      <c r="F158" s="6"/>
      <c r="G158" s="6"/>
      <c r="H158" s="6"/>
      <c r="I158" s="6"/>
      <c r="J158" s="6"/>
    </row>
    <row r="161" spans="2:14" ht="18.5" x14ac:dyDescent="0.45">
      <c r="B161" s="10"/>
      <c r="C161" s="10"/>
      <c r="D161" s="140" t="s">
        <v>41</v>
      </c>
      <c r="E161" s="140"/>
      <c r="F161" s="140"/>
      <c r="G161" s="140"/>
      <c r="H161" s="140"/>
      <c r="I161" s="140"/>
      <c r="J161" s="42"/>
    </row>
    <row r="162" spans="2:14" s="35" customFormat="1" ht="21" customHeight="1" x14ac:dyDescent="0.5">
      <c r="B162" s="26"/>
      <c r="C162" s="26"/>
      <c r="D162" s="141" t="s">
        <v>39</v>
      </c>
      <c r="E162" s="141"/>
      <c r="F162" s="141"/>
      <c r="G162" s="141"/>
      <c r="H162" s="141"/>
      <c r="I162" s="141"/>
      <c r="J162" s="52"/>
      <c r="K162" s="57"/>
      <c r="L162" s="57"/>
    </row>
    <row r="163" spans="2:14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</row>
    <row r="164" spans="2:14" ht="14.4" customHeight="1" x14ac:dyDescent="0.35">
      <c r="B164" s="14"/>
      <c r="C164" s="15"/>
      <c r="D164" s="142" t="s">
        <v>6</v>
      </c>
      <c r="E164" s="143"/>
      <c r="F164" s="143"/>
      <c r="G164" s="144"/>
      <c r="H164" s="129" t="s">
        <v>7</v>
      </c>
      <c r="I164" s="130"/>
      <c r="J164" s="53"/>
      <c r="K164" s="129" t="s">
        <v>8</v>
      </c>
      <c r="L164" s="130"/>
    </row>
    <row r="165" spans="2:14" ht="14.4" customHeight="1" x14ac:dyDescent="0.35">
      <c r="B165" s="12"/>
      <c r="C165" s="13"/>
      <c r="D165" s="145" t="s">
        <v>9</v>
      </c>
      <c r="E165" s="146"/>
      <c r="F165" s="146"/>
      <c r="G165" s="147"/>
      <c r="H165" s="131"/>
      <c r="I165" s="132"/>
      <c r="J165" s="53"/>
      <c r="K165" s="131"/>
      <c r="L165" s="132"/>
    </row>
    <row r="166" spans="2:14" ht="14.4" customHeight="1" x14ac:dyDescent="0.35">
      <c r="B166" s="133" t="s">
        <v>10</v>
      </c>
      <c r="C166" s="135" t="s">
        <v>11</v>
      </c>
      <c r="D166" s="51" t="s">
        <v>12</v>
      </c>
      <c r="E166" s="51" t="s">
        <v>13</v>
      </c>
      <c r="F166" s="51" t="s">
        <v>14</v>
      </c>
      <c r="G166" s="51" t="s">
        <v>15</v>
      </c>
      <c r="H166" s="124" t="s">
        <v>16</v>
      </c>
      <c r="I166" s="126" t="s">
        <v>17</v>
      </c>
      <c r="J166" s="54"/>
      <c r="K166" s="124" t="s">
        <v>18</v>
      </c>
      <c r="L166" s="126" t="s">
        <v>19</v>
      </c>
    </row>
    <row r="167" spans="2:14" ht="40.65" customHeight="1" x14ac:dyDescent="0.35">
      <c r="B167" s="134"/>
      <c r="C167" s="136"/>
      <c r="D167" s="137" t="s">
        <v>20</v>
      </c>
      <c r="E167" s="138"/>
      <c r="F167" s="138"/>
      <c r="G167" s="139"/>
      <c r="H167" s="125"/>
      <c r="I167" s="127"/>
      <c r="J167" s="54"/>
      <c r="K167" s="125"/>
      <c r="L167" s="127"/>
    </row>
    <row r="168" spans="2:14" x14ac:dyDescent="0.35">
      <c r="B168" s="40">
        <v>4</v>
      </c>
      <c r="C168" s="38" t="s">
        <v>21</v>
      </c>
      <c r="D168" s="20">
        <v>195414.01</v>
      </c>
      <c r="E168" s="20">
        <v>0</v>
      </c>
      <c r="F168" s="43">
        <f>+D168+E168</f>
        <v>195414.01</v>
      </c>
      <c r="G168" s="20">
        <f>+F168</f>
        <v>195414.01</v>
      </c>
      <c r="H168" s="44">
        <v>0</v>
      </c>
      <c r="I168" s="20">
        <v>0</v>
      </c>
      <c r="J168" s="45"/>
      <c r="K168" s="46">
        <f t="shared" ref="K168:K192" si="29">((G168-L168)/L168)*100</f>
        <v>25.491162497863151</v>
      </c>
      <c r="L168" s="22">
        <f>467158.02/3</f>
        <v>155719.34</v>
      </c>
    </row>
    <row r="169" spans="2:14" x14ac:dyDescent="0.35">
      <c r="B169" s="40">
        <v>5</v>
      </c>
      <c r="C169" s="38" t="s">
        <v>22</v>
      </c>
      <c r="D169" s="25">
        <v>213874.7</v>
      </c>
      <c r="E169" s="25">
        <v>0</v>
      </c>
      <c r="F169" s="47">
        <f>+E169+D169</f>
        <v>213874.7</v>
      </c>
      <c r="G169" s="25">
        <f>+G168+F169</f>
        <v>409288.71</v>
      </c>
      <c r="H169" s="48">
        <f t="shared" ref="H169:H179" si="30">((G169-I169)/I169)*100</f>
        <v>-30.407918107260794</v>
      </c>
      <c r="I169" s="25">
        <f>+I168+588125.4</f>
        <v>588125.4</v>
      </c>
      <c r="J169" s="45"/>
      <c r="K169" s="48">
        <f t="shared" si="29"/>
        <v>-25.457529101050547</v>
      </c>
      <c r="L169" s="25">
        <f>1647203.42/3</f>
        <v>549067.80666666664</v>
      </c>
    </row>
    <row r="170" spans="2:14" x14ac:dyDescent="0.35">
      <c r="B170" s="40">
        <v>6</v>
      </c>
      <c r="C170" s="38" t="s">
        <v>23</v>
      </c>
      <c r="D170" s="25">
        <v>245270.22</v>
      </c>
      <c r="E170" s="25">
        <v>0</v>
      </c>
      <c r="F170" s="47">
        <f>+E170+D170</f>
        <v>245270.22</v>
      </c>
      <c r="G170" s="25">
        <f t="shared" ref="G170" si="31">+G169+F170</f>
        <v>654558.93000000005</v>
      </c>
      <c r="H170" s="48">
        <f t="shared" si="30"/>
        <v>-22.412363764613357</v>
      </c>
      <c r="I170" s="25">
        <f>+I169+255512.79</f>
        <v>843638.19000000006</v>
      </c>
      <c r="J170" s="45"/>
      <c r="K170" s="48">
        <f t="shared" si="29"/>
        <v>-16.304043907612726</v>
      </c>
      <c r="L170" s="25">
        <f>2346202.71/3</f>
        <v>782067.57</v>
      </c>
    </row>
    <row r="171" spans="2:14" x14ac:dyDescent="0.35">
      <c r="B171" s="40">
        <v>7</v>
      </c>
      <c r="C171" s="38" t="s">
        <v>24</v>
      </c>
      <c r="D171" s="25">
        <v>199584.66</v>
      </c>
      <c r="E171" s="25">
        <f>+[1]Thompsons!E166+[1]Flame!E166+'[1]SA Sultana'!E166+'[1]OR Sultana'!E166+[1]Goldens!E166+[1]Currants!E166+[1]Other!E166</f>
        <v>0</v>
      </c>
      <c r="F171" s="47">
        <f t="shared" ref="F171:F192" si="32">+E171+D171</f>
        <v>199584.66</v>
      </c>
      <c r="G171" s="25">
        <f>+G170+F171</f>
        <v>854143.59000000008</v>
      </c>
      <c r="H171" s="48">
        <f t="shared" si="30"/>
        <v>-17.730536053607395</v>
      </c>
      <c r="I171" s="25">
        <f>+I170+194588.57</f>
        <v>1038226.76</v>
      </c>
      <c r="J171" s="45"/>
      <c r="K171" s="48">
        <f t="shared" si="29"/>
        <v>-11.575121088073416</v>
      </c>
      <c r="L171" s="25">
        <f>2897861.78/3</f>
        <v>965953.92666666664</v>
      </c>
      <c r="N171" s="39"/>
    </row>
    <row r="172" spans="2:14" x14ac:dyDescent="0.35">
      <c r="B172" s="40">
        <v>8</v>
      </c>
      <c r="C172" s="38" t="s">
        <v>25</v>
      </c>
      <c r="D172" s="25">
        <v>326755.93</v>
      </c>
      <c r="E172" s="25">
        <v>0</v>
      </c>
      <c r="F172" s="47">
        <f t="shared" si="32"/>
        <v>326755.93</v>
      </c>
      <c r="G172" s="25">
        <f t="shared" ref="G172:G192" si="33">+G171+F172</f>
        <v>1180899.52</v>
      </c>
      <c r="H172" s="48">
        <f t="shared" si="30"/>
        <v>-2.9438524739382803</v>
      </c>
      <c r="I172" s="25">
        <v>1216717.8999999999</v>
      </c>
      <c r="J172" s="45"/>
      <c r="K172" s="48">
        <f t="shared" si="29"/>
        <v>-7.6929448112940833</v>
      </c>
      <c r="L172" s="25">
        <f>3837949.93/3</f>
        <v>1279316.6433333333</v>
      </c>
    </row>
    <row r="173" spans="2:14" x14ac:dyDescent="0.35">
      <c r="B173" s="40">
        <v>9</v>
      </c>
      <c r="C173" s="38" t="s">
        <v>26</v>
      </c>
      <c r="D173" s="25">
        <v>288384.67</v>
      </c>
      <c r="E173" s="25">
        <v>0</v>
      </c>
      <c r="F173" s="47">
        <f t="shared" si="32"/>
        <v>288384.67</v>
      </c>
      <c r="G173" s="25">
        <f t="shared" si="33"/>
        <v>1469284.19</v>
      </c>
      <c r="H173" s="48">
        <f t="shared" si="30"/>
        <v>-0.81890056625639529</v>
      </c>
      <c r="I173" s="25">
        <v>1481415.51</v>
      </c>
      <c r="J173" s="45"/>
      <c r="K173" s="48">
        <f t="shared" si="29"/>
        <v>-1.868533481082836</v>
      </c>
      <c r="L173" s="25">
        <f>4491783.04/3</f>
        <v>1497261.0133333334</v>
      </c>
    </row>
    <row r="174" spans="2:14" x14ac:dyDescent="0.35">
      <c r="B174" s="40">
        <v>10</v>
      </c>
      <c r="C174" s="38" t="s">
        <v>62</v>
      </c>
      <c r="D174" s="25">
        <v>80303.12</v>
      </c>
      <c r="E174" s="25">
        <v>0</v>
      </c>
      <c r="F174" s="47">
        <f t="shared" si="32"/>
        <v>80303.12</v>
      </c>
      <c r="G174" s="25">
        <f t="shared" si="33"/>
        <v>1549587.31</v>
      </c>
      <c r="H174" s="48">
        <f t="shared" si="30"/>
        <v>-6.8811964157620391</v>
      </c>
      <c r="I174" s="25">
        <v>1664097.1</v>
      </c>
      <c r="J174" s="45"/>
      <c r="K174" s="48">
        <f t="shared" si="29"/>
        <v>-9.8398176273118008</v>
      </c>
      <c r="L174" s="25">
        <v>1718704.72</v>
      </c>
    </row>
    <row r="175" spans="2:14" x14ac:dyDescent="0.35">
      <c r="B175" s="40">
        <v>11</v>
      </c>
      <c r="C175" s="38" t="s">
        <v>63</v>
      </c>
      <c r="D175" s="25">
        <v>227744.17</v>
      </c>
      <c r="E175" s="25">
        <v>0</v>
      </c>
      <c r="F175" s="47">
        <f>+E175+D175</f>
        <v>227744.17</v>
      </c>
      <c r="G175" s="25">
        <f>+G174+F175</f>
        <v>1777331.48</v>
      </c>
      <c r="H175" s="48">
        <f t="shared" si="30"/>
        <v>2.9757363322757233</v>
      </c>
      <c r="I175" s="25">
        <f>+I174+61874.03</f>
        <v>1725971.1300000001</v>
      </c>
      <c r="J175" s="45"/>
      <c r="K175" s="48">
        <f t="shared" si="29"/>
        <v>-6.7913670815364133</v>
      </c>
      <c r="L175" s="25">
        <v>1906831.4</v>
      </c>
    </row>
    <row r="176" spans="2:14" x14ac:dyDescent="0.35">
      <c r="B176" s="40">
        <v>12</v>
      </c>
      <c r="C176" s="38" t="s">
        <v>78</v>
      </c>
      <c r="D176" s="25">
        <v>52749</v>
      </c>
      <c r="E176" s="25">
        <v>0</v>
      </c>
      <c r="F176" s="47">
        <f t="shared" si="32"/>
        <v>52749</v>
      </c>
      <c r="G176" s="25">
        <f>+G175+F176</f>
        <v>1830080.48</v>
      </c>
      <c r="H176" s="48">
        <f t="shared" si="30"/>
        <v>-4.4647615237315312</v>
      </c>
      <c r="I176" s="25">
        <v>1915607.8</v>
      </c>
      <c r="J176" s="45"/>
      <c r="K176" s="48">
        <f t="shared" si="29"/>
        <v>-14.4486860447672</v>
      </c>
      <c r="L176" s="25">
        <v>2139161.16</v>
      </c>
    </row>
    <row r="177" spans="2:13" x14ac:dyDescent="0.35">
      <c r="B177" s="40">
        <v>13</v>
      </c>
      <c r="C177" s="38" t="s">
        <v>64</v>
      </c>
      <c r="D177" s="25">
        <v>47617.97</v>
      </c>
      <c r="E177" s="25">
        <v>0</v>
      </c>
      <c r="F177" s="47">
        <f t="shared" si="32"/>
        <v>47617.97</v>
      </c>
      <c r="G177" s="25">
        <f t="shared" si="33"/>
        <v>1877698.45</v>
      </c>
      <c r="H177" s="48">
        <f t="shared" si="30"/>
        <v>-1.9789826519830804</v>
      </c>
      <c r="I177" s="25">
        <v>1915608</v>
      </c>
      <c r="J177" s="45"/>
      <c r="K177" s="48">
        <f t="shared" si="29"/>
        <v>-16.377114895409409</v>
      </c>
      <c r="L177" s="25">
        <v>2245436.1</v>
      </c>
    </row>
    <row r="178" spans="2:13" x14ac:dyDescent="0.35">
      <c r="B178" s="40">
        <v>14</v>
      </c>
      <c r="C178" s="58" t="s">
        <v>65</v>
      </c>
      <c r="D178" s="25">
        <v>76423.539999999994</v>
      </c>
      <c r="E178" s="25">
        <v>0</v>
      </c>
      <c r="F178" s="47">
        <f t="shared" si="32"/>
        <v>76423.539999999994</v>
      </c>
      <c r="G178" s="25">
        <f t="shared" si="33"/>
        <v>1954121.99</v>
      </c>
      <c r="H178" s="48">
        <f t="shared" si="30"/>
        <v>2.0105360804506969</v>
      </c>
      <c r="I178" s="25">
        <f>+I177+0</f>
        <v>1915608</v>
      </c>
      <c r="J178" s="45"/>
      <c r="K178" s="48">
        <f t="shared" si="29"/>
        <v>-15.441162283087506</v>
      </c>
      <c r="L178" s="25">
        <v>2310961.27</v>
      </c>
    </row>
    <row r="179" spans="2:13" x14ac:dyDescent="0.35">
      <c r="B179" s="40">
        <v>15</v>
      </c>
      <c r="C179" s="38" t="s">
        <v>66</v>
      </c>
      <c r="D179" s="25">
        <v>27232.09</v>
      </c>
      <c r="E179" s="25">
        <v>0</v>
      </c>
      <c r="F179" s="47">
        <f t="shared" si="32"/>
        <v>27232.09</v>
      </c>
      <c r="G179" s="25">
        <f t="shared" si="33"/>
        <v>1981354.08</v>
      </c>
      <c r="H179" s="48">
        <f t="shared" si="30"/>
        <v>3.4321259881980066</v>
      </c>
      <c r="I179" s="25">
        <f>+I178+0</f>
        <v>1915608</v>
      </c>
      <c r="J179" s="45"/>
      <c r="K179" s="48">
        <f t="shared" si="29"/>
        <v>-14.433471827729369</v>
      </c>
      <c r="L179" s="25">
        <v>2315571.4300000002</v>
      </c>
    </row>
    <row r="180" spans="2:13" x14ac:dyDescent="0.35">
      <c r="B180" s="40">
        <v>16</v>
      </c>
      <c r="C180" s="38" t="s">
        <v>67</v>
      </c>
      <c r="D180" s="25">
        <v>20678</v>
      </c>
      <c r="E180" s="25">
        <v>0</v>
      </c>
      <c r="F180" s="47">
        <f t="shared" si="32"/>
        <v>20678</v>
      </c>
      <c r="G180" s="25">
        <f t="shared" si="33"/>
        <v>2002032.08</v>
      </c>
      <c r="H180" s="48">
        <v>0</v>
      </c>
      <c r="I180" s="25">
        <v>1923143.31</v>
      </c>
      <c r="J180" s="45"/>
      <c r="K180" s="48">
        <f t="shared" si="29"/>
        <v>-13.950665380216776</v>
      </c>
      <c r="L180" s="25">
        <v>2326609.6</v>
      </c>
    </row>
    <row r="181" spans="2:13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32"/>
        <v>0</v>
      </c>
      <c r="G181" s="25">
        <f t="shared" si="33"/>
        <v>2002032.08</v>
      </c>
      <c r="H181" s="48">
        <f t="shared" ref="H181:H192" si="34">((G181-I181)/I181)*100</f>
        <v>3.4164732322319376</v>
      </c>
      <c r="I181" s="25">
        <f>+I180+12749.51</f>
        <v>1935892.82</v>
      </c>
      <c r="J181" s="45"/>
      <c r="K181" s="48">
        <f t="shared" si="29"/>
        <v>-14.107558540724355</v>
      </c>
      <c r="L181" s="25">
        <v>2330859.44</v>
      </c>
    </row>
    <row r="182" spans="2:13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32"/>
        <v>0</v>
      </c>
      <c r="G182" s="25">
        <f t="shared" si="33"/>
        <v>2002032.08</v>
      </c>
      <c r="H182" s="48">
        <f t="shared" si="34"/>
        <v>3.4164732322319376</v>
      </c>
      <c r="I182" s="25">
        <f>+I181+0</f>
        <v>1935892.82</v>
      </c>
      <c r="J182" s="45"/>
      <c r="K182" s="48">
        <f t="shared" si="29"/>
        <v>-14.293805911826915</v>
      </c>
      <c r="L182" s="25">
        <v>2335924.61</v>
      </c>
    </row>
    <row r="183" spans="2:13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32"/>
        <v>0</v>
      </c>
      <c r="G183" s="25">
        <f t="shared" si="33"/>
        <v>2002032.08</v>
      </c>
      <c r="H183" s="48">
        <f t="shared" si="34"/>
        <v>2.4369707666813158</v>
      </c>
      <c r="I183" s="25">
        <f>+I182+18511.01</f>
        <v>1954403.83</v>
      </c>
      <c r="J183" s="45"/>
      <c r="K183" s="48">
        <f t="shared" si="29"/>
        <v>-14.519601839881002</v>
      </c>
      <c r="L183" s="25">
        <v>2342094.94</v>
      </c>
    </row>
    <row r="184" spans="2:13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32"/>
        <v>0</v>
      </c>
      <c r="G184" s="25">
        <f t="shared" si="33"/>
        <v>2002032.08</v>
      </c>
      <c r="H184" s="48">
        <f t="shared" si="34"/>
        <v>1.3076805480777116</v>
      </c>
      <c r="I184" s="25">
        <f>+I183+21786</f>
        <v>1976189.83</v>
      </c>
      <c r="J184" s="45"/>
      <c r="K184" s="48">
        <f t="shared" si="29"/>
        <v>-14.783826760696478</v>
      </c>
      <c r="L184" s="25">
        <v>2349356.94</v>
      </c>
    </row>
    <row r="185" spans="2:13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32"/>
        <v>0</v>
      </c>
      <c r="G185" s="25">
        <f t="shared" si="33"/>
        <v>2002032.08</v>
      </c>
      <c r="H185" s="48">
        <f>((G185-I185)/I185)*100</f>
        <v>9.9159078039517956E-2</v>
      </c>
      <c r="I185" s="25">
        <f>+I184+23859.02</f>
        <v>2000048.85</v>
      </c>
      <c r="J185" s="45"/>
      <c r="K185" s="48">
        <f t="shared" si="29"/>
        <v>-15.071322507730581</v>
      </c>
      <c r="L185" s="25">
        <v>2357309.85</v>
      </c>
    </row>
    <row r="186" spans="2:13" x14ac:dyDescent="0.35">
      <c r="B186" s="40">
        <v>22</v>
      </c>
      <c r="C186" s="38" t="s">
        <v>79</v>
      </c>
      <c r="D186" s="25">
        <v>0</v>
      </c>
      <c r="E186" s="25">
        <v>0</v>
      </c>
      <c r="F186" s="47">
        <f t="shared" si="32"/>
        <v>0</v>
      </c>
      <c r="G186" s="25">
        <f t="shared" si="33"/>
        <v>2002032.08</v>
      </c>
      <c r="H186" s="48">
        <f t="shared" si="34"/>
        <v>9.9159078039517956E-2</v>
      </c>
      <c r="I186" s="25">
        <f t="shared" ref="I186:I191" si="35">+I185+0</f>
        <v>2000048.85</v>
      </c>
      <c r="J186" s="45"/>
      <c r="K186" s="48">
        <f t="shared" si="29"/>
        <v>-15.071326110509995</v>
      </c>
      <c r="L186" s="25">
        <v>2357309.9500000002</v>
      </c>
    </row>
    <row r="187" spans="2:13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32"/>
        <v>0</v>
      </c>
      <c r="G187" s="25">
        <f t="shared" si="33"/>
        <v>2002032.08</v>
      </c>
      <c r="H187" s="48">
        <f t="shared" si="34"/>
        <v>9.9159078039517956E-2</v>
      </c>
      <c r="I187" s="25">
        <f t="shared" si="35"/>
        <v>2000048.85</v>
      </c>
      <c r="J187" s="45"/>
      <c r="K187" s="48">
        <f t="shared" si="29"/>
        <v>-15.071326110509995</v>
      </c>
      <c r="L187" s="25">
        <f>+L186+0</f>
        <v>2357309.9500000002</v>
      </c>
    </row>
    <row r="188" spans="2:13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32"/>
        <v>0</v>
      </c>
      <c r="G188" s="25">
        <f>+G187+F188</f>
        <v>2002032.08</v>
      </c>
      <c r="H188" s="48">
        <f t="shared" si="34"/>
        <v>9.9159078039517956E-2</v>
      </c>
      <c r="I188" s="25">
        <f t="shared" si="35"/>
        <v>2000048.85</v>
      </c>
      <c r="J188" s="45"/>
      <c r="K188" s="48">
        <f t="shared" si="29"/>
        <v>-15.071326110509995</v>
      </c>
      <c r="L188" s="25">
        <v>2357309.9500000002</v>
      </c>
    </row>
    <row r="189" spans="2:13" x14ac:dyDescent="0.35">
      <c r="B189" s="40">
        <v>25</v>
      </c>
      <c r="C189" s="77" t="s">
        <v>76</v>
      </c>
      <c r="D189" s="25">
        <v>0</v>
      </c>
      <c r="E189" s="25">
        <v>0</v>
      </c>
      <c r="F189" s="47">
        <f t="shared" si="32"/>
        <v>0</v>
      </c>
      <c r="G189" s="25">
        <f t="shared" si="33"/>
        <v>2002032.08</v>
      </c>
      <c r="H189" s="48">
        <f t="shared" si="34"/>
        <v>9.9159078039517956E-2</v>
      </c>
      <c r="I189" s="25">
        <f t="shared" si="35"/>
        <v>2000048.85</v>
      </c>
      <c r="J189" s="45"/>
      <c r="K189" s="48">
        <f t="shared" si="29"/>
        <v>-15.071326110509995</v>
      </c>
      <c r="L189" s="25">
        <v>2357309.9500000002</v>
      </c>
    </row>
    <row r="190" spans="2:13" x14ac:dyDescent="0.35">
      <c r="B190" s="40">
        <v>26</v>
      </c>
      <c r="C190" s="77" t="s">
        <v>77</v>
      </c>
      <c r="D190" s="105">
        <v>0</v>
      </c>
      <c r="E190" s="106">
        <v>0</v>
      </c>
      <c r="F190" s="107">
        <f t="shared" si="32"/>
        <v>0</v>
      </c>
      <c r="G190" s="106">
        <f t="shared" si="33"/>
        <v>2002032.08</v>
      </c>
      <c r="H190" s="48">
        <f t="shared" si="34"/>
        <v>9.9159078039517956E-2</v>
      </c>
      <c r="I190" s="25">
        <f t="shared" si="35"/>
        <v>2000048.85</v>
      </c>
      <c r="J190" s="45"/>
      <c r="K190" s="48">
        <f t="shared" si="29"/>
        <v>-15.071326110509995</v>
      </c>
      <c r="L190" s="25">
        <v>2357309.9500000002</v>
      </c>
      <c r="M190" s="1"/>
    </row>
    <row r="191" spans="2:13" x14ac:dyDescent="0.35">
      <c r="B191" s="40">
        <v>27</v>
      </c>
      <c r="C191" s="77" t="s">
        <v>81</v>
      </c>
      <c r="D191" s="119">
        <v>0</v>
      </c>
      <c r="E191" s="120">
        <v>0</v>
      </c>
      <c r="F191" s="121">
        <f t="shared" si="32"/>
        <v>0</v>
      </c>
      <c r="G191" s="120">
        <f t="shared" si="33"/>
        <v>2002032.08</v>
      </c>
      <c r="H191" s="48">
        <f t="shared" si="34"/>
        <v>9.9159078039517956E-2</v>
      </c>
      <c r="I191" s="25">
        <f t="shared" si="35"/>
        <v>2000048.85</v>
      </c>
      <c r="J191" s="45"/>
      <c r="K191" s="48">
        <f t="shared" si="29"/>
        <v>-15.071326110509995</v>
      </c>
      <c r="L191" s="25">
        <v>2357309.9500000002</v>
      </c>
      <c r="M191" s="1"/>
    </row>
    <row r="192" spans="2:13" x14ac:dyDescent="0.35">
      <c r="B192" s="40">
        <v>28</v>
      </c>
      <c r="C192" s="77" t="s">
        <v>87</v>
      </c>
      <c r="D192" s="20">
        <v>0</v>
      </c>
      <c r="E192" s="20">
        <v>0</v>
      </c>
      <c r="F192" s="43">
        <f t="shared" si="32"/>
        <v>0</v>
      </c>
      <c r="G192" s="123">
        <f t="shared" si="33"/>
        <v>2002032.08</v>
      </c>
      <c r="H192" s="48">
        <f t="shared" si="34"/>
        <v>9.9159078039517956E-2</v>
      </c>
      <c r="I192" s="25">
        <f>+I191+0</f>
        <v>2000048.85</v>
      </c>
      <c r="J192" s="45"/>
      <c r="K192" s="48">
        <f t="shared" si="29"/>
        <v>-15.071326110509995</v>
      </c>
      <c r="L192" s="25">
        <f>+L191+0</f>
        <v>2357309.9500000002</v>
      </c>
      <c r="M192" s="1"/>
    </row>
    <row r="193" spans="2:13" hidden="1" x14ac:dyDescent="0.35">
      <c r="B193" s="40">
        <v>29</v>
      </c>
      <c r="C193" s="16" t="s">
        <v>30</v>
      </c>
      <c r="D193" s="25"/>
      <c r="E193" s="25"/>
      <c r="F193" s="47">
        <f t="shared" ref="F193:F197" si="36">+E193+D193</f>
        <v>0</v>
      </c>
      <c r="G193" s="25">
        <f t="shared" ref="G193:G197" si="37">+G192+F193</f>
        <v>2002032.08</v>
      </c>
      <c r="H193" s="48">
        <v>0</v>
      </c>
      <c r="I193" s="25">
        <v>0</v>
      </c>
      <c r="J193" s="45"/>
      <c r="K193" s="48">
        <v>0</v>
      </c>
      <c r="L193" s="25">
        <v>0</v>
      </c>
      <c r="M193" s="1"/>
    </row>
    <row r="194" spans="2:13" hidden="1" x14ac:dyDescent="0.35">
      <c r="B194" s="40">
        <v>30</v>
      </c>
      <c r="C194" s="16" t="s">
        <v>31</v>
      </c>
      <c r="D194" s="25"/>
      <c r="E194" s="25"/>
      <c r="F194" s="47">
        <f t="shared" si="36"/>
        <v>0</v>
      </c>
      <c r="G194" s="25">
        <f t="shared" si="37"/>
        <v>2002032.08</v>
      </c>
      <c r="H194" s="48">
        <v>0</v>
      </c>
      <c r="I194" s="25">
        <v>0</v>
      </c>
      <c r="J194" s="45"/>
      <c r="K194" s="48">
        <v>0</v>
      </c>
      <c r="L194" s="25">
        <v>0</v>
      </c>
      <c r="M194" s="1"/>
    </row>
    <row r="195" spans="2:13" hidden="1" x14ac:dyDescent="0.35">
      <c r="B195" s="40">
        <v>31</v>
      </c>
      <c r="C195" s="17" t="s">
        <v>32</v>
      </c>
      <c r="D195" s="25"/>
      <c r="E195" s="25"/>
      <c r="F195" s="47">
        <f t="shared" si="36"/>
        <v>0</v>
      </c>
      <c r="G195" s="25">
        <f t="shared" si="37"/>
        <v>2002032.08</v>
      </c>
      <c r="H195" s="48">
        <v>0</v>
      </c>
      <c r="I195" s="25">
        <v>0</v>
      </c>
      <c r="J195" s="45"/>
      <c r="K195" s="48">
        <v>0</v>
      </c>
      <c r="L195" s="25">
        <v>0</v>
      </c>
      <c r="M195" s="1"/>
    </row>
    <row r="196" spans="2:13" hidden="1" x14ac:dyDescent="0.35">
      <c r="B196" s="40">
        <v>32</v>
      </c>
      <c r="C196" s="17" t="s">
        <v>33</v>
      </c>
      <c r="D196" s="25"/>
      <c r="E196" s="25"/>
      <c r="F196" s="47">
        <f t="shared" si="36"/>
        <v>0</v>
      </c>
      <c r="G196" s="25">
        <f t="shared" si="37"/>
        <v>2002032.08</v>
      </c>
      <c r="H196" s="48">
        <v>0</v>
      </c>
      <c r="I196" s="25">
        <v>0</v>
      </c>
      <c r="J196" s="45"/>
      <c r="K196" s="48">
        <v>0</v>
      </c>
      <c r="L196" s="25">
        <v>0</v>
      </c>
      <c r="M196" s="1"/>
    </row>
    <row r="197" spans="2:13" hidden="1" x14ac:dyDescent="0.35">
      <c r="B197" s="40">
        <v>33</v>
      </c>
      <c r="C197" s="16" t="s">
        <v>27</v>
      </c>
      <c r="D197" s="25"/>
      <c r="E197" s="25"/>
      <c r="F197" s="47">
        <f t="shared" si="36"/>
        <v>0</v>
      </c>
      <c r="G197" s="25">
        <f t="shared" si="37"/>
        <v>2002032.08</v>
      </c>
      <c r="H197" s="48">
        <v>0</v>
      </c>
      <c r="I197" s="25">
        <v>0</v>
      </c>
      <c r="J197" s="45"/>
      <c r="K197" s="48">
        <v>0</v>
      </c>
      <c r="L197" s="25">
        <v>0</v>
      </c>
      <c r="M197" s="1"/>
    </row>
    <row r="198" spans="2:13" hidden="1" x14ac:dyDescent="0.35">
      <c r="B198" s="40">
        <v>34</v>
      </c>
      <c r="C198" s="16" t="s">
        <v>27</v>
      </c>
      <c r="D198" s="25"/>
      <c r="E198" s="25"/>
      <c r="F198" s="47">
        <f t="shared" ref="F198:F206" si="38">+E198+D198</f>
        <v>0</v>
      </c>
      <c r="G198" s="25">
        <f>+G181+F198</f>
        <v>2002032.08</v>
      </c>
      <c r="H198" s="48">
        <v>0</v>
      </c>
      <c r="I198" s="25">
        <v>0</v>
      </c>
      <c r="J198" s="45"/>
      <c r="K198" s="48">
        <v>0</v>
      </c>
      <c r="L198" s="25">
        <v>0</v>
      </c>
      <c r="M198" s="1"/>
    </row>
    <row r="199" spans="2:13" hidden="1" x14ac:dyDescent="0.35">
      <c r="B199" s="40">
        <v>35</v>
      </c>
      <c r="C199" s="16" t="s">
        <v>28</v>
      </c>
      <c r="D199" s="25"/>
      <c r="E199" s="25"/>
      <c r="F199" s="47">
        <f t="shared" si="38"/>
        <v>0</v>
      </c>
      <c r="G199" s="25">
        <f t="shared" ref="G199:G204" si="39">+G198+F199</f>
        <v>2002032.08</v>
      </c>
      <c r="H199" s="48">
        <v>0</v>
      </c>
      <c r="I199" s="25">
        <v>0</v>
      </c>
      <c r="J199" s="45"/>
      <c r="K199" s="48">
        <v>0</v>
      </c>
      <c r="L199" s="25">
        <v>0</v>
      </c>
      <c r="M199" s="1"/>
    </row>
    <row r="200" spans="2:13" hidden="1" x14ac:dyDescent="0.35">
      <c r="B200" s="40">
        <v>36</v>
      </c>
      <c r="C200" s="16" t="s">
        <v>29</v>
      </c>
      <c r="D200" s="25"/>
      <c r="E200" s="25"/>
      <c r="F200" s="47">
        <f t="shared" si="38"/>
        <v>0</v>
      </c>
      <c r="G200" s="25">
        <f t="shared" si="39"/>
        <v>2002032.08</v>
      </c>
      <c r="H200" s="48">
        <v>0</v>
      </c>
      <c r="I200" s="25">
        <v>0</v>
      </c>
      <c r="J200" s="45"/>
      <c r="K200" s="48">
        <v>0</v>
      </c>
      <c r="L200" s="25">
        <v>0</v>
      </c>
      <c r="M200" s="1"/>
    </row>
    <row r="201" spans="2:13" hidden="1" x14ac:dyDescent="0.35">
      <c r="B201" s="40">
        <v>37</v>
      </c>
      <c r="C201" s="16" t="s">
        <v>30</v>
      </c>
      <c r="D201" s="25"/>
      <c r="E201" s="25"/>
      <c r="F201" s="47">
        <f t="shared" si="38"/>
        <v>0</v>
      </c>
      <c r="G201" s="25">
        <f t="shared" si="39"/>
        <v>2002032.08</v>
      </c>
      <c r="H201" s="48">
        <v>0</v>
      </c>
      <c r="I201" s="25">
        <v>0</v>
      </c>
      <c r="J201" s="45"/>
      <c r="K201" s="48">
        <v>0</v>
      </c>
      <c r="L201" s="25">
        <v>0</v>
      </c>
      <c r="M201" s="1"/>
    </row>
    <row r="202" spans="2:13" hidden="1" x14ac:dyDescent="0.35">
      <c r="B202" s="40">
        <v>38</v>
      </c>
      <c r="C202" s="16" t="s">
        <v>31</v>
      </c>
      <c r="D202" s="25"/>
      <c r="E202" s="25"/>
      <c r="F202" s="47">
        <f t="shared" si="38"/>
        <v>0</v>
      </c>
      <c r="G202" s="25">
        <f t="shared" si="39"/>
        <v>2002032.08</v>
      </c>
      <c r="H202" s="48">
        <v>0</v>
      </c>
      <c r="I202" s="25">
        <v>0</v>
      </c>
      <c r="J202" s="45"/>
      <c r="K202" s="48">
        <v>0</v>
      </c>
      <c r="L202" s="25">
        <v>0</v>
      </c>
      <c r="M202" s="1"/>
    </row>
    <row r="203" spans="2:13" hidden="1" x14ac:dyDescent="0.35">
      <c r="B203" s="40">
        <v>39</v>
      </c>
      <c r="C203" s="17" t="s">
        <v>32</v>
      </c>
      <c r="D203" s="25"/>
      <c r="E203" s="25"/>
      <c r="F203" s="47">
        <f t="shared" si="38"/>
        <v>0</v>
      </c>
      <c r="G203" s="25">
        <f t="shared" si="39"/>
        <v>2002032.08</v>
      </c>
      <c r="H203" s="48">
        <v>0</v>
      </c>
      <c r="I203" s="25">
        <v>0</v>
      </c>
      <c r="J203" s="45"/>
      <c r="K203" s="48">
        <v>0</v>
      </c>
      <c r="L203" s="25">
        <v>0</v>
      </c>
      <c r="M203" s="1"/>
    </row>
    <row r="204" spans="2:13" hidden="1" x14ac:dyDescent="0.35">
      <c r="B204" s="40">
        <v>40</v>
      </c>
      <c r="C204" s="17" t="s">
        <v>33</v>
      </c>
      <c r="D204" s="25"/>
      <c r="E204" s="25"/>
      <c r="F204" s="47">
        <f t="shared" si="38"/>
        <v>0</v>
      </c>
      <c r="G204" s="25">
        <f t="shared" si="39"/>
        <v>2002032.08</v>
      </c>
      <c r="H204" s="48">
        <v>0</v>
      </c>
      <c r="I204" s="25">
        <v>0</v>
      </c>
      <c r="J204" s="45"/>
      <c r="K204" s="48">
        <v>0</v>
      </c>
      <c r="L204" s="25">
        <v>0</v>
      </c>
      <c r="M204" s="1"/>
    </row>
    <row r="205" spans="2:13" hidden="1" x14ac:dyDescent="0.35">
      <c r="B205" s="40">
        <v>41</v>
      </c>
      <c r="C205" s="17"/>
      <c r="D205" s="25"/>
      <c r="E205" s="25"/>
      <c r="F205" s="47"/>
      <c r="G205" s="25"/>
      <c r="H205" s="48"/>
      <c r="I205" s="25"/>
      <c r="J205" s="45"/>
      <c r="K205" s="48"/>
      <c r="L205" s="25"/>
      <c r="M205" s="1"/>
    </row>
    <row r="206" spans="2:13" hidden="1" x14ac:dyDescent="0.35">
      <c r="B206" s="40">
        <v>42</v>
      </c>
      <c r="C206" s="16" t="s">
        <v>27</v>
      </c>
      <c r="D206" s="25"/>
      <c r="E206" s="25"/>
      <c r="F206" s="47">
        <f t="shared" si="38"/>
        <v>0</v>
      </c>
      <c r="G206" s="25">
        <f>+G204+F206</f>
        <v>2002032.08</v>
      </c>
      <c r="H206" s="48">
        <v>0</v>
      </c>
      <c r="I206" s="25">
        <v>0</v>
      </c>
      <c r="J206" s="45"/>
      <c r="K206" s="48">
        <v>0</v>
      </c>
      <c r="L206" s="25">
        <v>0</v>
      </c>
      <c r="M206" s="1"/>
    </row>
    <row r="207" spans="2:13" x14ac:dyDescent="0.35">
      <c r="B207" s="5"/>
      <c r="C207" s="5"/>
      <c r="D207" s="6"/>
      <c r="E207" s="6"/>
      <c r="F207" s="6"/>
      <c r="G207" s="6"/>
      <c r="H207" s="6"/>
      <c r="I207" s="6"/>
      <c r="J207" s="6"/>
    </row>
    <row r="208" spans="2:13" x14ac:dyDescent="0.35">
      <c r="B208" s="8" t="s">
        <v>34</v>
      </c>
      <c r="C208" s="5"/>
      <c r="D208" s="6"/>
      <c r="E208" s="6"/>
      <c r="F208" s="6"/>
      <c r="G208" s="6"/>
      <c r="H208" s="6"/>
      <c r="I208" s="6"/>
      <c r="J208" s="6"/>
    </row>
    <row r="209" spans="2:10" x14ac:dyDescent="0.35">
      <c r="B209" s="9" t="s">
        <v>35</v>
      </c>
      <c r="C209" s="5"/>
      <c r="D209" s="6"/>
      <c r="E209" s="6"/>
      <c r="F209" s="6"/>
      <c r="G209" s="6"/>
      <c r="H209" s="6"/>
      <c r="I209" s="6"/>
      <c r="J209" s="6"/>
    </row>
    <row r="210" spans="2:10" x14ac:dyDescent="0.35">
      <c r="B210" s="9" t="s">
        <v>36</v>
      </c>
      <c r="C210" s="5"/>
      <c r="D210" s="6"/>
      <c r="E210" s="6"/>
      <c r="F210" s="6"/>
      <c r="G210" s="6"/>
      <c r="H210" s="6"/>
      <c r="I210" s="6"/>
      <c r="J210" s="6"/>
    </row>
    <row r="211" spans="2:10" x14ac:dyDescent="0.35">
      <c r="B211" s="9" t="s">
        <v>37</v>
      </c>
      <c r="C211" s="5"/>
      <c r="D211" s="6"/>
      <c r="E211" s="6"/>
      <c r="F211" s="6"/>
      <c r="G211" s="6"/>
      <c r="H211" s="6"/>
      <c r="I211" s="6"/>
      <c r="J211" s="6"/>
    </row>
  </sheetData>
  <sheetProtection formatCells="0" formatColumns="0" formatRows="0" insertColumns="0" insertRows="0" insertHyperlinks="0" deleteColumns="0" deleteRows="0" sort="0" autoFilter="0" pivotTables="0"/>
  <mergeCells count="55">
    <mergeCell ref="D3:I3"/>
    <mergeCell ref="D55:I55"/>
    <mergeCell ref="D56:I56"/>
    <mergeCell ref="D58:G58"/>
    <mergeCell ref="H58:I59"/>
    <mergeCell ref="D59:G59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  <mergeCell ref="D6:G6"/>
    <mergeCell ref="D5:G5"/>
    <mergeCell ref="B60:B61"/>
    <mergeCell ref="C60:C61"/>
    <mergeCell ref="H60:H61"/>
    <mergeCell ref="I60:I61"/>
    <mergeCell ref="D61:G61"/>
    <mergeCell ref="D108:I108"/>
    <mergeCell ref="D109:I109"/>
    <mergeCell ref="B110:L110"/>
    <mergeCell ref="D111:G111"/>
    <mergeCell ref="H111:I112"/>
    <mergeCell ref="D112:G112"/>
    <mergeCell ref="B113:B114"/>
    <mergeCell ref="C113:C114"/>
    <mergeCell ref="H113:H114"/>
    <mergeCell ref="I113:I114"/>
    <mergeCell ref="D114:G114"/>
    <mergeCell ref="D164:G164"/>
    <mergeCell ref="H164:I165"/>
    <mergeCell ref="D165:G165"/>
    <mergeCell ref="B163:L163"/>
    <mergeCell ref="K164:L165"/>
    <mergeCell ref="K166:K167"/>
    <mergeCell ref="L166:L167"/>
    <mergeCell ref="B57:L57"/>
    <mergeCell ref="K58:L59"/>
    <mergeCell ref="K60:K61"/>
    <mergeCell ref="L60:L61"/>
    <mergeCell ref="K111:L112"/>
    <mergeCell ref="K113:K114"/>
    <mergeCell ref="L113:L114"/>
    <mergeCell ref="B166:B167"/>
    <mergeCell ref="C166:C167"/>
    <mergeCell ref="H166:H167"/>
    <mergeCell ref="I166:I167"/>
    <mergeCell ref="D167:G167"/>
    <mergeCell ref="D161:I161"/>
    <mergeCell ref="D162:I16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211"/>
  <sheetViews>
    <sheetView zoomScale="70" zoomScaleNormal="70" workbookViewId="0">
      <selection activeCell="K211" sqref="K211"/>
    </sheetView>
  </sheetViews>
  <sheetFormatPr defaultColWidth="9" defaultRowHeight="14.5" x14ac:dyDescent="0.35"/>
  <cols>
    <col min="1" max="1" width="2" style="3" customWidth="1"/>
    <col min="2" max="2" width="6.8984375" style="3" customWidth="1"/>
    <col min="3" max="3" width="25.59765625" style="3" customWidth="1"/>
    <col min="4" max="4" width="18.59765625" style="39" customWidth="1"/>
    <col min="5" max="5" width="13" style="39" customWidth="1"/>
    <col min="6" max="6" width="14.8984375" style="39" customWidth="1"/>
    <col min="7" max="7" width="14.59765625" style="39" customWidth="1"/>
    <col min="8" max="8" width="13" style="39" customWidth="1"/>
    <col min="9" max="9" width="17.09765625" style="39" customWidth="1"/>
    <col min="10" max="11" width="9" style="3"/>
    <col min="12" max="12" width="15.3984375" style="3" bestFit="1" customWidth="1"/>
    <col min="13" max="16384" width="9" style="3"/>
  </cols>
  <sheetData>
    <row r="3" spans="2:12" s="35" customFormat="1" ht="18.5" x14ac:dyDescent="0.45">
      <c r="B3" s="26"/>
      <c r="C3" s="26"/>
      <c r="D3" s="160" t="s">
        <v>42</v>
      </c>
      <c r="E3" s="160"/>
      <c r="F3" s="160"/>
      <c r="G3" s="160"/>
      <c r="H3" s="160"/>
      <c r="I3" s="160"/>
      <c r="J3" s="26"/>
      <c r="K3" s="36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42" t="s">
        <v>6</v>
      </c>
      <c r="E5" s="143"/>
      <c r="F5" s="143"/>
      <c r="G5" s="144"/>
      <c r="H5" s="129" t="s">
        <v>7</v>
      </c>
      <c r="I5" s="130"/>
      <c r="J5" s="4"/>
      <c r="K5" s="1"/>
      <c r="L5" s="2"/>
    </row>
    <row r="6" spans="2:12" ht="14.4" customHeight="1" x14ac:dyDescent="0.35">
      <c r="B6" s="12"/>
      <c r="C6" s="13"/>
      <c r="D6" s="145" t="s">
        <v>9</v>
      </c>
      <c r="E6" s="146"/>
      <c r="F6" s="146"/>
      <c r="G6" s="147"/>
      <c r="H6" s="131"/>
      <c r="I6" s="132"/>
      <c r="J6" s="4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51" t="s">
        <v>12</v>
      </c>
      <c r="E7" s="51" t="s">
        <v>13</v>
      </c>
      <c r="F7" s="51" t="s">
        <v>14</v>
      </c>
      <c r="G7" s="51" t="s">
        <v>15</v>
      </c>
      <c r="H7" s="124" t="s">
        <v>16</v>
      </c>
      <c r="I7" s="126" t="s">
        <v>17</v>
      </c>
      <c r="J7" s="19"/>
      <c r="K7" s="1"/>
      <c r="L7" s="2"/>
    </row>
    <row r="8" spans="2:12" ht="31.4" customHeight="1" x14ac:dyDescent="0.35">
      <c r="B8" s="134"/>
      <c r="C8" s="136"/>
      <c r="D8" s="154" t="s">
        <v>20</v>
      </c>
      <c r="E8" s="155"/>
      <c r="F8" s="155"/>
      <c r="G8" s="156"/>
      <c r="H8" s="125"/>
      <c r="I8" s="127"/>
      <c r="J8" s="19"/>
      <c r="K8" s="1"/>
    </row>
    <row r="9" spans="2:12" x14ac:dyDescent="0.35">
      <c r="B9" s="40">
        <v>4</v>
      </c>
      <c r="C9" s="38" t="s">
        <v>21</v>
      </c>
      <c r="D9" s="20">
        <v>696917.44</v>
      </c>
      <c r="E9" s="20">
        <v>0</v>
      </c>
      <c r="F9" s="43">
        <f>+D9+E9</f>
        <v>696917.44</v>
      </c>
      <c r="G9" s="20">
        <f>+F9</f>
        <v>696917.44</v>
      </c>
      <c r="H9" s="44">
        <f t="shared" ref="H9:H33" si="0">((G9-I9)/I9)*100</f>
        <v>404.17235043044195</v>
      </c>
      <c r="I9" s="20">
        <v>138230</v>
      </c>
      <c r="J9" s="21"/>
      <c r="K9" s="1"/>
    </row>
    <row r="10" spans="2:12" x14ac:dyDescent="0.35">
      <c r="B10" s="40">
        <v>5</v>
      </c>
      <c r="C10" s="38" t="s">
        <v>22</v>
      </c>
      <c r="D10" s="25">
        <v>4382751.42</v>
      </c>
      <c r="E10" s="25">
        <v>0</v>
      </c>
      <c r="F10" s="47">
        <f>+E10+D10</f>
        <v>4382751.42</v>
      </c>
      <c r="G10" s="25">
        <f>+G9+F10</f>
        <v>5079668.8599999994</v>
      </c>
      <c r="H10" s="48">
        <f t="shared" si="0"/>
        <v>129.39980280898408</v>
      </c>
      <c r="I10" s="25">
        <f>+I9+2076100.09</f>
        <v>2214330.09</v>
      </c>
      <c r="J10" s="21"/>
      <c r="K10" s="1"/>
    </row>
    <row r="11" spans="2:12" x14ac:dyDescent="0.35">
      <c r="B11" s="40">
        <v>6</v>
      </c>
      <c r="C11" s="38" t="s">
        <v>23</v>
      </c>
      <c r="D11" s="25">
        <f>6155544.29-79989</f>
        <v>6075555.29</v>
      </c>
      <c r="E11" s="25">
        <v>79989</v>
      </c>
      <c r="F11" s="47">
        <f>+E11+D11</f>
        <v>6155544.29</v>
      </c>
      <c r="G11" s="25">
        <f t="shared" ref="G11:G33" si="1">+G10+F11</f>
        <v>11235213.149999999</v>
      </c>
      <c r="H11" s="48">
        <f t="shared" si="0"/>
        <v>164.37779724668982</v>
      </c>
      <c r="I11" s="25">
        <f>+I10+2035350.96</f>
        <v>4249681.05</v>
      </c>
      <c r="J11" s="21"/>
      <c r="K11" s="1"/>
      <c r="L11" s="37"/>
    </row>
    <row r="12" spans="2:12" x14ac:dyDescent="0.35">
      <c r="B12" s="40">
        <v>7</v>
      </c>
      <c r="C12" s="38" t="s">
        <v>24</v>
      </c>
      <c r="D12" s="25">
        <v>2466772.65</v>
      </c>
      <c r="E12" s="25">
        <v>3178848</v>
      </c>
      <c r="F12" s="47">
        <f t="shared" ref="F12:F33" si="2">+E12+D12</f>
        <v>5645620.6500000004</v>
      </c>
      <c r="G12" s="25">
        <f>+G11+F12</f>
        <v>16880833.799999997</v>
      </c>
      <c r="H12" s="48">
        <f t="shared" si="0"/>
        <v>105.19430683355768</v>
      </c>
      <c r="I12" s="25">
        <f>+I11+3977074.39</f>
        <v>8226755.4399999995</v>
      </c>
      <c r="J12" s="21"/>
      <c r="K12" s="1"/>
      <c r="L12" s="37"/>
    </row>
    <row r="13" spans="2:12" x14ac:dyDescent="0.35">
      <c r="B13" s="40">
        <v>8</v>
      </c>
      <c r="C13" s="38" t="s">
        <v>25</v>
      </c>
      <c r="D13" s="25">
        <v>5219153.76</v>
      </c>
      <c r="E13" s="25">
        <v>0</v>
      </c>
      <c r="F13" s="47">
        <f t="shared" si="2"/>
        <v>5219153.76</v>
      </c>
      <c r="G13" s="25">
        <f t="shared" si="1"/>
        <v>22099987.559999995</v>
      </c>
      <c r="H13" s="48">
        <f t="shared" si="0"/>
        <v>61.518350704701383</v>
      </c>
      <c r="I13" s="25">
        <v>13682648.109999999</v>
      </c>
      <c r="J13" s="21"/>
      <c r="K13" s="1"/>
      <c r="L13" s="39"/>
    </row>
    <row r="14" spans="2:12" x14ac:dyDescent="0.35">
      <c r="B14" s="40">
        <v>9</v>
      </c>
      <c r="C14" s="38" t="s">
        <v>26</v>
      </c>
      <c r="D14" s="25">
        <v>4452434.1500000004</v>
      </c>
      <c r="E14" s="25">
        <v>0</v>
      </c>
      <c r="F14" s="47">
        <f t="shared" si="2"/>
        <v>4452434.1500000004</v>
      </c>
      <c r="G14" s="25">
        <f t="shared" si="1"/>
        <v>26552421.709999993</v>
      </c>
      <c r="H14" s="48">
        <f t="shared" si="0"/>
        <v>41.191446292220242</v>
      </c>
      <c r="I14" s="25">
        <v>18805970.48</v>
      </c>
      <c r="J14" s="21"/>
      <c r="K14" s="1"/>
    </row>
    <row r="15" spans="2:12" x14ac:dyDescent="0.35">
      <c r="B15" s="40">
        <v>10</v>
      </c>
      <c r="C15" s="38" t="s">
        <v>62</v>
      </c>
      <c r="D15" s="25">
        <v>8612538.6099999994</v>
      </c>
      <c r="E15" s="25">
        <v>34326.5</v>
      </c>
      <c r="F15" s="47">
        <f t="shared" si="2"/>
        <v>8646865.1099999994</v>
      </c>
      <c r="G15" s="25">
        <f t="shared" si="1"/>
        <v>35199286.819999993</v>
      </c>
      <c r="H15" s="48">
        <f t="shared" si="0"/>
        <v>35.76376342351967</v>
      </c>
      <c r="I15" s="25">
        <f>+I14+7120893.9</f>
        <v>25926864.380000003</v>
      </c>
      <c r="J15" s="21"/>
      <c r="K15" s="1"/>
    </row>
    <row r="16" spans="2:12" x14ac:dyDescent="0.35">
      <c r="B16" s="40">
        <v>11</v>
      </c>
      <c r="C16" s="38" t="s">
        <v>63</v>
      </c>
      <c r="D16" s="25">
        <v>7184835.5999999996</v>
      </c>
      <c r="E16" s="25">
        <v>0</v>
      </c>
      <c r="F16" s="47">
        <f t="shared" si="2"/>
        <v>7184835.5999999996</v>
      </c>
      <c r="G16" s="25">
        <f t="shared" si="1"/>
        <v>42384122.419999994</v>
      </c>
      <c r="H16" s="48">
        <f t="shared" si="0"/>
        <v>33.587536784279735</v>
      </c>
      <c r="I16" s="25">
        <f>+I15+5800737.94</f>
        <v>31727602.320000004</v>
      </c>
      <c r="J16" s="21"/>
      <c r="K16" s="1"/>
    </row>
    <row r="17" spans="2:11" x14ac:dyDescent="0.35">
      <c r="B17" s="40">
        <v>12</v>
      </c>
      <c r="C17" s="38" t="s">
        <v>78</v>
      </c>
      <c r="D17" s="25">
        <v>6922769.54</v>
      </c>
      <c r="E17" s="25">
        <v>0</v>
      </c>
      <c r="F17" s="47">
        <f t="shared" si="2"/>
        <v>6922769.54</v>
      </c>
      <c r="G17" s="25">
        <f t="shared" si="1"/>
        <v>49306891.959999993</v>
      </c>
      <c r="H17" s="48">
        <f t="shared" si="0"/>
        <v>29.470503526062945</v>
      </c>
      <c r="I17" s="25">
        <f>+I16+6355892.08</f>
        <v>38083494.400000006</v>
      </c>
      <c r="J17" s="21"/>
      <c r="K17" s="1"/>
    </row>
    <row r="18" spans="2:11" x14ac:dyDescent="0.35">
      <c r="B18" s="40">
        <v>13</v>
      </c>
      <c r="C18" s="38" t="s">
        <v>64</v>
      </c>
      <c r="D18" s="25">
        <v>4166259.22</v>
      </c>
      <c r="E18" s="25">
        <v>0</v>
      </c>
      <c r="F18" s="47">
        <f t="shared" si="2"/>
        <v>4166259.22</v>
      </c>
      <c r="G18" s="25">
        <f t="shared" si="1"/>
        <v>53473151.179999992</v>
      </c>
      <c r="H18" s="48">
        <f t="shared" si="0"/>
        <v>26.760573626383206</v>
      </c>
      <c r="I18" s="25">
        <v>42184371.409999996</v>
      </c>
      <c r="J18" s="21"/>
      <c r="K18" s="1"/>
    </row>
    <row r="19" spans="2:11" x14ac:dyDescent="0.35">
      <c r="B19" s="40">
        <v>14</v>
      </c>
      <c r="C19" s="58" t="s">
        <v>65</v>
      </c>
      <c r="D19" s="25">
        <v>1249646.03</v>
      </c>
      <c r="E19" s="25">
        <v>179717.5</v>
      </c>
      <c r="F19" s="47">
        <f t="shared" si="2"/>
        <v>1429363.53</v>
      </c>
      <c r="G19" s="25">
        <f t="shared" si="1"/>
        <v>54902514.709999993</v>
      </c>
      <c r="H19" s="48">
        <f t="shared" si="0"/>
        <v>17.556566287643399</v>
      </c>
      <c r="I19" s="25">
        <f>+I18+4518689.46</f>
        <v>46703060.869999997</v>
      </c>
      <c r="J19" s="21"/>
      <c r="K19" s="1"/>
    </row>
    <row r="20" spans="2:11" x14ac:dyDescent="0.35">
      <c r="B20" s="40">
        <v>15</v>
      </c>
      <c r="C20" s="38" t="s">
        <v>66</v>
      </c>
      <c r="D20" s="25">
        <v>1419304.09</v>
      </c>
      <c r="E20" s="25">
        <v>0</v>
      </c>
      <c r="F20" s="47">
        <f t="shared" si="2"/>
        <v>1419304.09</v>
      </c>
      <c r="G20" s="25">
        <f t="shared" si="1"/>
        <v>56321818.799999997</v>
      </c>
      <c r="H20" s="48">
        <f t="shared" si="0"/>
        <v>14.135612297593811</v>
      </c>
      <c r="I20" s="25">
        <f>+I19+2643341.77</f>
        <v>49346402.640000001</v>
      </c>
      <c r="J20" s="21"/>
      <c r="K20" s="1"/>
    </row>
    <row r="21" spans="2:11" x14ac:dyDescent="0.35">
      <c r="B21" s="40">
        <v>16</v>
      </c>
      <c r="C21" s="38" t="s">
        <v>67</v>
      </c>
      <c r="D21" s="25">
        <v>1755700.83</v>
      </c>
      <c r="E21" s="25">
        <v>0</v>
      </c>
      <c r="F21" s="47">
        <f t="shared" si="2"/>
        <v>1755700.83</v>
      </c>
      <c r="G21" s="25">
        <f t="shared" si="1"/>
        <v>58077519.629999995</v>
      </c>
      <c r="H21" s="48">
        <f t="shared" si="0"/>
        <v>11.403227266166123</v>
      </c>
      <c r="I21" s="25">
        <v>52132708.409999996</v>
      </c>
      <c r="J21" s="21"/>
      <c r="K21" s="1"/>
    </row>
    <row r="22" spans="2:11" x14ac:dyDescent="0.35">
      <c r="B22" s="40">
        <v>17</v>
      </c>
      <c r="C22" s="38" t="s">
        <v>68</v>
      </c>
      <c r="D22" s="25">
        <v>585975.03</v>
      </c>
      <c r="E22" s="25">
        <v>135843</v>
      </c>
      <c r="F22" s="47">
        <f t="shared" si="2"/>
        <v>721818.03</v>
      </c>
      <c r="G22" s="25">
        <f t="shared" si="1"/>
        <v>58799337.659999996</v>
      </c>
      <c r="H22" s="48">
        <f t="shared" si="0"/>
        <v>9.4060435045644226</v>
      </c>
      <c r="I22" s="25">
        <f>+I21+1611432.02</f>
        <v>53744140.43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275116.52</v>
      </c>
      <c r="E23" s="25">
        <v>0</v>
      </c>
      <c r="F23" s="47">
        <f t="shared" si="2"/>
        <v>275116.52</v>
      </c>
      <c r="G23" s="25">
        <f t="shared" si="1"/>
        <v>59074454.18</v>
      </c>
      <c r="H23" s="48">
        <f t="shared" si="0"/>
        <v>4.9189177309556991</v>
      </c>
      <c r="I23" s="25">
        <f>+I22+2560723.8</f>
        <v>56304864.229999997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765323</v>
      </c>
      <c r="E24" s="25">
        <v>0</v>
      </c>
      <c r="F24" s="47">
        <f t="shared" si="2"/>
        <v>765323</v>
      </c>
      <c r="G24" s="25">
        <f t="shared" si="1"/>
        <v>59839777.18</v>
      </c>
      <c r="H24" s="48">
        <f t="shared" si="0"/>
        <v>4.1709100911922068</v>
      </c>
      <c r="I24" s="25">
        <f>+I23+1138981.78</f>
        <v>57443846.009999998</v>
      </c>
      <c r="J24" s="21"/>
      <c r="K24" s="1"/>
    </row>
    <row r="25" spans="2:11" x14ac:dyDescent="0.35">
      <c r="B25" s="40">
        <v>20</v>
      </c>
      <c r="C25" s="38" t="s">
        <v>71</v>
      </c>
      <c r="D25" s="25">
        <v>64204.5</v>
      </c>
      <c r="E25" s="25">
        <v>-19420</v>
      </c>
      <c r="F25" s="47">
        <f t="shared" si="2"/>
        <v>44784.5</v>
      </c>
      <c r="G25" s="25">
        <f t="shared" si="1"/>
        <v>59884561.68</v>
      </c>
      <c r="H25" s="48">
        <f t="shared" si="0"/>
        <v>3.2555868749046688</v>
      </c>
      <c r="I25" s="25">
        <f>+I24+552591.27</f>
        <v>57996437.280000001</v>
      </c>
      <c r="J25" s="21"/>
      <c r="K25" s="1"/>
    </row>
    <row r="26" spans="2:11" x14ac:dyDescent="0.35">
      <c r="B26" s="40">
        <v>21</v>
      </c>
      <c r="C26" s="38" t="s">
        <v>72</v>
      </c>
      <c r="D26" s="25">
        <v>82694.25</v>
      </c>
      <c r="E26" s="25">
        <v>0</v>
      </c>
      <c r="F26" s="47">
        <f t="shared" si="2"/>
        <v>82694.25</v>
      </c>
      <c r="G26" s="25">
        <f t="shared" si="1"/>
        <v>59967255.93</v>
      </c>
      <c r="H26" s="48">
        <f t="shared" si="0"/>
        <v>2.3013358460532691</v>
      </c>
      <c r="I26" s="25">
        <f>+I25+621815.78</f>
        <v>58618253.060000002</v>
      </c>
      <c r="J26" s="21"/>
      <c r="K26" s="1"/>
    </row>
    <row r="27" spans="2:11" x14ac:dyDescent="0.35">
      <c r="B27" s="40">
        <v>22</v>
      </c>
      <c r="C27" s="38" t="s">
        <v>73</v>
      </c>
      <c r="D27" s="25">
        <v>231298.01</v>
      </c>
      <c r="E27" s="25">
        <v>0</v>
      </c>
      <c r="F27" s="47">
        <f t="shared" si="2"/>
        <v>231298.01</v>
      </c>
      <c r="G27" s="25">
        <f t="shared" si="1"/>
        <v>60198553.939999998</v>
      </c>
      <c r="H27" s="48">
        <f t="shared" si="0"/>
        <v>2.526683716651736</v>
      </c>
      <c r="I27" s="25">
        <f>+I26+96758.25</f>
        <v>58715011.310000002</v>
      </c>
      <c r="J27" s="21"/>
      <c r="K27" s="1"/>
    </row>
    <row r="28" spans="2:11" x14ac:dyDescent="0.35">
      <c r="B28" s="40">
        <v>23</v>
      </c>
      <c r="C28" s="38" t="s">
        <v>80</v>
      </c>
      <c r="D28" s="25">
        <v>223312.49</v>
      </c>
      <c r="E28" s="25">
        <f>+'[2] Specific add product detail'!E31</f>
        <v>-64311</v>
      </c>
      <c r="F28" s="47">
        <f t="shared" si="2"/>
        <v>159001.49</v>
      </c>
      <c r="G28" s="25">
        <f t="shared" si="1"/>
        <v>60357555.43</v>
      </c>
      <c r="H28" s="48">
        <f t="shared" si="0"/>
        <v>2.7613351615578554</v>
      </c>
      <c r="I28" s="25">
        <f>+I27+20655.5</f>
        <v>58735666.810000002</v>
      </c>
      <c r="J28" s="21"/>
      <c r="K28" s="1"/>
    </row>
    <row r="29" spans="2:11" x14ac:dyDescent="0.35">
      <c r="B29" s="40">
        <v>24</v>
      </c>
      <c r="C29" s="38" t="s">
        <v>75</v>
      </c>
      <c r="D29" s="25">
        <v>37973</v>
      </c>
      <c r="E29" s="25">
        <v>0</v>
      </c>
      <c r="F29" s="47">
        <f t="shared" si="2"/>
        <v>37973</v>
      </c>
      <c r="G29" s="25">
        <f t="shared" si="1"/>
        <v>60395528.43</v>
      </c>
      <c r="H29" s="48">
        <f t="shared" si="0"/>
        <v>2.8300537796577858</v>
      </c>
      <c r="I29" s="25">
        <f>+I28-2323.58</f>
        <v>58733343.230000004</v>
      </c>
      <c r="J29" s="21"/>
      <c r="K29" s="1"/>
    </row>
    <row r="30" spans="2:11" x14ac:dyDescent="0.35">
      <c r="B30" s="40">
        <v>25</v>
      </c>
      <c r="C30" s="77" t="s">
        <v>76</v>
      </c>
      <c r="D30" s="25">
        <v>74172</v>
      </c>
      <c r="E30" s="25">
        <v>0</v>
      </c>
      <c r="F30" s="47">
        <f t="shared" si="2"/>
        <v>74172</v>
      </c>
      <c r="G30" s="25">
        <f t="shared" si="1"/>
        <v>60469700.43</v>
      </c>
      <c r="H30" s="48">
        <f t="shared" si="0"/>
        <v>2.9604130668281248</v>
      </c>
      <c r="I30" s="25">
        <f>+I29-2323.58</f>
        <v>58731019.650000006</v>
      </c>
      <c r="J30" s="21"/>
      <c r="K30" s="1"/>
    </row>
    <row r="31" spans="2:11" x14ac:dyDescent="0.35">
      <c r="B31" s="40">
        <v>26</v>
      </c>
      <c r="C31" s="38" t="s">
        <v>77</v>
      </c>
      <c r="D31" s="25">
        <v>52969.9</v>
      </c>
      <c r="E31" s="25">
        <v>37775</v>
      </c>
      <c r="F31" s="47">
        <f t="shared" si="2"/>
        <v>90744.9</v>
      </c>
      <c r="G31" s="25">
        <f t="shared" si="1"/>
        <v>60560445.329999998</v>
      </c>
      <c r="H31" s="48">
        <f t="shared" si="0"/>
        <v>3.1190020936556957</v>
      </c>
      <c r="I31" s="25">
        <f>+I30-2323.58</f>
        <v>58728696.070000008</v>
      </c>
      <c r="J31" s="21"/>
      <c r="K31" s="1"/>
    </row>
    <row r="32" spans="2:11" x14ac:dyDescent="0.35">
      <c r="B32" s="111">
        <v>27</v>
      </c>
      <c r="C32" s="77" t="s">
        <v>81</v>
      </c>
      <c r="D32" s="105">
        <v>32188.5</v>
      </c>
      <c r="E32" s="106">
        <v>0</v>
      </c>
      <c r="F32" s="107">
        <f t="shared" si="2"/>
        <v>32188.5</v>
      </c>
      <c r="G32" s="106">
        <f t="shared" si="1"/>
        <v>60592633.829999998</v>
      </c>
      <c r="H32" s="44">
        <f t="shared" si="0"/>
        <v>3.1778931012941039</v>
      </c>
      <c r="I32" s="20">
        <f>+I31-2323.58</f>
        <v>58726372.49000001</v>
      </c>
      <c r="J32" s="21"/>
      <c r="K32" s="1"/>
    </row>
    <row r="33" spans="2:11" x14ac:dyDescent="0.35">
      <c r="B33" s="110">
        <v>28</v>
      </c>
      <c r="C33" s="77" t="s">
        <v>87</v>
      </c>
      <c r="D33" s="108">
        <v>34830</v>
      </c>
      <c r="E33" s="108">
        <v>769468</v>
      </c>
      <c r="F33" s="109">
        <f t="shared" si="2"/>
        <v>804298</v>
      </c>
      <c r="G33" s="109">
        <f t="shared" si="1"/>
        <v>61396931.829999998</v>
      </c>
      <c r="H33" s="44">
        <f t="shared" si="0"/>
        <v>4.5515984841175117</v>
      </c>
      <c r="I33" s="20">
        <f>+I32-2323.58</f>
        <v>58724048.910000011</v>
      </c>
      <c r="J33" s="21"/>
      <c r="K33" s="1"/>
    </row>
    <row r="34" spans="2:11" hidden="1" x14ac:dyDescent="0.35">
      <c r="B34" s="40">
        <v>29</v>
      </c>
      <c r="C34" s="17" t="s">
        <v>32</v>
      </c>
      <c r="D34" s="25"/>
      <c r="E34" s="25"/>
      <c r="F34" s="47">
        <f t="shared" ref="F34:F35" si="3">+E34+D34</f>
        <v>0</v>
      </c>
      <c r="G34" s="25">
        <f t="shared" ref="G34:G35" si="4">+G33+F34</f>
        <v>61396931.829999998</v>
      </c>
      <c r="H34" s="48">
        <v>0</v>
      </c>
      <c r="I34" s="25">
        <v>0</v>
      </c>
      <c r="J34" s="21"/>
      <c r="K34" s="1"/>
    </row>
    <row r="35" spans="2:11" hidden="1" x14ac:dyDescent="0.35">
      <c r="B35" s="40">
        <v>30</v>
      </c>
      <c r="C35" s="27" t="s">
        <v>33</v>
      </c>
      <c r="D35" s="31"/>
      <c r="E35" s="31"/>
      <c r="F35" s="55">
        <f t="shared" si="3"/>
        <v>0</v>
      </c>
      <c r="G35" s="31">
        <f t="shared" si="4"/>
        <v>61396931.829999998</v>
      </c>
      <c r="H35" s="56">
        <v>0</v>
      </c>
      <c r="I35" s="31">
        <v>0</v>
      </c>
      <c r="J35" s="21"/>
      <c r="K35" s="1"/>
    </row>
    <row r="36" spans="2:11" hidden="1" x14ac:dyDescent="0.35">
      <c r="B36" s="40">
        <v>31</v>
      </c>
      <c r="C36" s="16" t="s">
        <v>31</v>
      </c>
      <c r="D36" s="25"/>
      <c r="E36" s="25"/>
      <c r="F36" s="47">
        <f t="shared" ref="F36:F47" si="5">+E36+D36</f>
        <v>0</v>
      </c>
      <c r="G36" s="25">
        <f>+G28+F36</f>
        <v>60357555.43</v>
      </c>
      <c r="H36" s="48">
        <v>0</v>
      </c>
      <c r="I36" s="25">
        <v>0</v>
      </c>
      <c r="J36" s="21"/>
      <c r="K36" s="1"/>
    </row>
    <row r="37" spans="2:11" hidden="1" x14ac:dyDescent="0.35">
      <c r="B37" s="40">
        <v>32</v>
      </c>
      <c r="C37" s="17" t="s">
        <v>32</v>
      </c>
      <c r="D37" s="25"/>
      <c r="E37" s="25"/>
      <c r="F37" s="47">
        <f t="shared" si="5"/>
        <v>0</v>
      </c>
      <c r="G37" s="25">
        <f t="shared" ref="G37:G43" si="6">+G36+F37</f>
        <v>60357555.43</v>
      </c>
      <c r="H37" s="48">
        <v>0</v>
      </c>
      <c r="I37" s="25">
        <v>0</v>
      </c>
      <c r="J37" s="21"/>
      <c r="K37" s="1"/>
    </row>
    <row r="38" spans="2:11" hidden="1" x14ac:dyDescent="0.35">
      <c r="B38" s="40">
        <v>33</v>
      </c>
      <c r="C38" s="16" t="s">
        <v>27</v>
      </c>
      <c r="D38" s="25"/>
      <c r="E38" s="25"/>
      <c r="F38" s="47">
        <f t="shared" si="5"/>
        <v>0</v>
      </c>
      <c r="G38" s="25">
        <f t="shared" si="6"/>
        <v>60357555.43</v>
      </c>
      <c r="H38" s="48">
        <v>0</v>
      </c>
      <c r="I38" s="25">
        <v>0</v>
      </c>
      <c r="J38" s="21"/>
      <c r="K38" s="1"/>
    </row>
    <row r="39" spans="2:11" hidden="1" x14ac:dyDescent="0.35">
      <c r="B39" s="40">
        <v>34</v>
      </c>
      <c r="C39" s="16" t="s">
        <v>28</v>
      </c>
      <c r="D39" s="25"/>
      <c r="E39" s="25"/>
      <c r="F39" s="47">
        <f t="shared" si="5"/>
        <v>0</v>
      </c>
      <c r="G39" s="25">
        <f t="shared" si="6"/>
        <v>60357555.43</v>
      </c>
      <c r="H39" s="48">
        <v>0</v>
      </c>
      <c r="I39" s="25">
        <v>0</v>
      </c>
      <c r="J39" s="21"/>
      <c r="K39" s="1"/>
    </row>
    <row r="40" spans="2:11" hidden="1" x14ac:dyDescent="0.35">
      <c r="B40" s="40">
        <v>35</v>
      </c>
      <c r="C40" s="16" t="s">
        <v>29</v>
      </c>
      <c r="D40" s="25"/>
      <c r="E40" s="25"/>
      <c r="F40" s="47">
        <f t="shared" si="5"/>
        <v>0</v>
      </c>
      <c r="G40" s="25">
        <f t="shared" si="6"/>
        <v>60357555.43</v>
      </c>
      <c r="H40" s="48">
        <v>0</v>
      </c>
      <c r="I40" s="25">
        <v>0</v>
      </c>
      <c r="J40" s="21"/>
      <c r="K40" s="1"/>
    </row>
    <row r="41" spans="2:11" hidden="1" x14ac:dyDescent="0.35">
      <c r="B41" s="40">
        <v>36</v>
      </c>
      <c r="C41" s="16" t="s">
        <v>30</v>
      </c>
      <c r="D41" s="25"/>
      <c r="E41" s="25"/>
      <c r="F41" s="47">
        <f t="shared" si="5"/>
        <v>0</v>
      </c>
      <c r="G41" s="25">
        <f t="shared" si="6"/>
        <v>60357555.43</v>
      </c>
      <c r="H41" s="48">
        <v>0</v>
      </c>
      <c r="I41" s="25">
        <v>0</v>
      </c>
      <c r="J41" s="21"/>
      <c r="K41" s="1"/>
    </row>
    <row r="42" spans="2:11" hidden="1" x14ac:dyDescent="0.35">
      <c r="B42" s="40">
        <v>37</v>
      </c>
      <c r="C42" s="16" t="s">
        <v>31</v>
      </c>
      <c r="D42" s="25"/>
      <c r="E42" s="25"/>
      <c r="F42" s="47">
        <f t="shared" si="5"/>
        <v>0</v>
      </c>
      <c r="G42" s="25">
        <f t="shared" si="6"/>
        <v>60357555.43</v>
      </c>
      <c r="H42" s="48">
        <v>0</v>
      </c>
      <c r="I42" s="25">
        <v>0</v>
      </c>
      <c r="J42" s="21"/>
      <c r="K42" s="1"/>
    </row>
    <row r="43" spans="2:11" hidden="1" x14ac:dyDescent="0.35">
      <c r="B43" s="40">
        <v>38</v>
      </c>
      <c r="C43" s="17" t="s">
        <v>32</v>
      </c>
      <c r="D43" s="25"/>
      <c r="E43" s="25"/>
      <c r="F43" s="47">
        <f t="shared" si="5"/>
        <v>0</v>
      </c>
      <c r="G43" s="25">
        <f t="shared" si="6"/>
        <v>60357555.43</v>
      </c>
      <c r="H43" s="48">
        <v>0</v>
      </c>
      <c r="I43" s="25">
        <v>0</v>
      </c>
      <c r="J43" s="21"/>
      <c r="K43" s="1"/>
    </row>
    <row r="44" spans="2:11" hidden="1" x14ac:dyDescent="0.35">
      <c r="B44" s="40">
        <v>39</v>
      </c>
      <c r="C44" s="103"/>
      <c r="D44" s="91"/>
      <c r="E44" s="91"/>
      <c r="F44" s="92"/>
      <c r="G44" s="91"/>
      <c r="H44" s="104"/>
      <c r="I44" s="91"/>
      <c r="J44" s="21"/>
      <c r="K44" s="1"/>
    </row>
    <row r="45" spans="2:11" hidden="1" x14ac:dyDescent="0.35">
      <c r="B45" s="40">
        <v>40</v>
      </c>
      <c r="C45" s="103"/>
      <c r="D45" s="91"/>
      <c r="E45" s="91"/>
      <c r="F45" s="92"/>
      <c r="G45" s="91"/>
      <c r="H45" s="104"/>
      <c r="I45" s="91"/>
      <c r="J45" s="21"/>
      <c r="K45" s="1"/>
    </row>
    <row r="46" spans="2:11" hidden="1" x14ac:dyDescent="0.35">
      <c r="B46" s="40">
        <v>41</v>
      </c>
      <c r="C46" s="27" t="s">
        <v>33</v>
      </c>
      <c r="D46" s="31"/>
      <c r="E46" s="31"/>
      <c r="F46" s="55">
        <f t="shared" si="5"/>
        <v>0</v>
      </c>
      <c r="G46" s="31">
        <f>+G43+F46</f>
        <v>60357555.43</v>
      </c>
      <c r="H46" s="56">
        <v>0</v>
      </c>
      <c r="I46" s="31">
        <v>0</v>
      </c>
      <c r="J46" s="21"/>
      <c r="K46" s="1"/>
    </row>
    <row r="47" spans="2:11" hidden="1" x14ac:dyDescent="0.35">
      <c r="B47" s="40">
        <v>42</v>
      </c>
      <c r="C47" s="27" t="s">
        <v>33</v>
      </c>
      <c r="D47" s="31"/>
      <c r="E47" s="31"/>
      <c r="F47" s="55">
        <f t="shared" si="5"/>
        <v>0</v>
      </c>
      <c r="G47" s="31">
        <f>+G37+F47</f>
        <v>60357555.43</v>
      </c>
      <c r="H47" s="56">
        <v>0</v>
      </c>
      <c r="I47" s="31">
        <v>0</v>
      </c>
      <c r="J47" s="21"/>
      <c r="K47" s="1"/>
    </row>
    <row r="48" spans="2:11" x14ac:dyDescent="0.35">
      <c r="B48" s="5"/>
      <c r="C48" s="5"/>
      <c r="D48" s="6"/>
      <c r="E48" s="6"/>
      <c r="F48" s="6"/>
      <c r="G48" s="6"/>
      <c r="H48" s="6"/>
      <c r="I48" s="6"/>
      <c r="J48" s="5"/>
      <c r="K48" s="1"/>
    </row>
    <row r="49" spans="2:11" x14ac:dyDescent="0.35">
      <c r="B49" s="8" t="s">
        <v>34</v>
      </c>
      <c r="C49" s="5"/>
      <c r="D49" s="6"/>
      <c r="E49" s="6"/>
      <c r="F49" s="6"/>
      <c r="G49" s="6"/>
      <c r="H49" s="6"/>
      <c r="I49" s="6"/>
      <c r="J49" s="5"/>
      <c r="K49" s="1"/>
    </row>
    <row r="50" spans="2:11" x14ac:dyDescent="0.35">
      <c r="B50" s="9" t="s">
        <v>35</v>
      </c>
      <c r="C50" s="5"/>
      <c r="D50" s="6"/>
      <c r="E50" s="6"/>
      <c r="F50" s="6"/>
      <c r="G50" s="6"/>
      <c r="H50" s="6"/>
      <c r="I50" s="6"/>
      <c r="J50" s="5"/>
      <c r="K50" s="1"/>
    </row>
    <row r="51" spans="2:11" x14ac:dyDescent="0.35">
      <c r="B51" s="9" t="s">
        <v>36</v>
      </c>
      <c r="C51" s="5"/>
      <c r="D51" s="6"/>
      <c r="E51" s="6"/>
      <c r="F51" s="6"/>
      <c r="G51" s="6"/>
      <c r="H51" s="6"/>
      <c r="I51" s="6"/>
      <c r="J51" s="5"/>
      <c r="K51" s="1"/>
    </row>
    <row r="52" spans="2:11" x14ac:dyDescent="0.35">
      <c r="B52" s="9" t="s">
        <v>37</v>
      </c>
      <c r="C52" s="5"/>
      <c r="D52" s="6"/>
      <c r="E52" s="6"/>
      <c r="F52" s="6"/>
      <c r="G52" s="6"/>
      <c r="H52" s="6"/>
      <c r="I52" s="6"/>
      <c r="J52" s="5"/>
      <c r="K52" s="1"/>
    </row>
    <row r="53" spans="2:11" x14ac:dyDescent="0.35">
      <c r="B53" s="9"/>
      <c r="C53" s="5"/>
      <c r="D53" s="6"/>
      <c r="E53" s="6"/>
      <c r="F53" s="6"/>
      <c r="G53" s="6"/>
      <c r="H53" s="6"/>
      <c r="I53" s="6"/>
      <c r="J53" s="5"/>
      <c r="K53" s="1"/>
    </row>
    <row r="54" spans="2:11" x14ac:dyDescent="0.35">
      <c r="B54" s="9"/>
      <c r="C54" s="5"/>
      <c r="D54" s="6"/>
      <c r="E54" s="6"/>
      <c r="F54" s="6"/>
      <c r="G54" s="6"/>
      <c r="H54" s="6"/>
      <c r="I54" s="6"/>
      <c r="J54" s="5"/>
      <c r="K54" s="1"/>
    </row>
    <row r="55" spans="2:11" ht="18.5" x14ac:dyDescent="0.45">
      <c r="B55" s="10"/>
      <c r="C55" s="10"/>
      <c r="D55" s="152" t="s">
        <v>38</v>
      </c>
      <c r="E55" s="152"/>
      <c r="F55" s="152"/>
      <c r="G55" s="152"/>
      <c r="H55" s="152"/>
      <c r="I55" s="152"/>
      <c r="J55" s="10"/>
    </row>
    <row r="56" spans="2:11" s="35" customFormat="1" ht="16" x14ac:dyDescent="0.4">
      <c r="B56" s="26"/>
      <c r="C56" s="26"/>
      <c r="D56" s="159" t="s">
        <v>42</v>
      </c>
      <c r="E56" s="159"/>
      <c r="F56" s="159"/>
      <c r="G56" s="159"/>
      <c r="H56" s="159"/>
      <c r="I56" s="159"/>
      <c r="J56" s="26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42" t="s">
        <v>6</v>
      </c>
      <c r="E58" s="143"/>
      <c r="F58" s="143"/>
      <c r="G58" s="144"/>
      <c r="H58" s="129" t="s">
        <v>7</v>
      </c>
      <c r="I58" s="130"/>
      <c r="J58" s="4"/>
    </row>
    <row r="59" spans="2:11" x14ac:dyDescent="0.35">
      <c r="B59" s="12"/>
      <c r="C59" s="13"/>
      <c r="D59" s="145" t="s">
        <v>9</v>
      </c>
      <c r="E59" s="146"/>
      <c r="F59" s="146"/>
      <c r="G59" s="147"/>
      <c r="H59" s="131"/>
      <c r="I59" s="132"/>
      <c r="J59" s="4"/>
    </row>
    <row r="60" spans="2:11" ht="14.4" customHeight="1" x14ac:dyDescent="0.35">
      <c r="B60" s="133" t="s">
        <v>10</v>
      </c>
      <c r="C60" s="135" t="s">
        <v>11</v>
      </c>
      <c r="D60" s="51" t="s">
        <v>12</v>
      </c>
      <c r="E60" s="51" t="s">
        <v>13</v>
      </c>
      <c r="F60" s="51" t="s">
        <v>14</v>
      </c>
      <c r="G60" s="51" t="s">
        <v>15</v>
      </c>
      <c r="H60" s="124" t="s">
        <v>16</v>
      </c>
      <c r="I60" s="126" t="s">
        <v>17</v>
      </c>
      <c r="J60" s="19"/>
    </row>
    <row r="61" spans="2:11" ht="38.4" customHeight="1" x14ac:dyDescent="0.35">
      <c r="B61" s="134"/>
      <c r="C61" s="136"/>
      <c r="D61" s="154" t="s">
        <v>20</v>
      </c>
      <c r="E61" s="155"/>
      <c r="F61" s="155"/>
      <c r="G61" s="156"/>
      <c r="H61" s="125"/>
      <c r="I61" s="127"/>
      <c r="J61" s="19"/>
    </row>
    <row r="62" spans="2:11" x14ac:dyDescent="0.35">
      <c r="B62" s="40">
        <v>4</v>
      </c>
      <c r="C62" s="38" t="s">
        <v>21</v>
      </c>
      <c r="D62" s="20">
        <v>607068.43999999994</v>
      </c>
      <c r="E62" s="20">
        <v>0</v>
      </c>
      <c r="F62" s="43">
        <f>+D62+E62</f>
        <v>607068.43999999994</v>
      </c>
      <c r="G62" s="20">
        <f>+F62</f>
        <v>607068.43999999994</v>
      </c>
      <c r="H62" s="44">
        <f t="shared" ref="H62:H86" si="7">((G62-I62)/I62)*100</f>
        <v>339.17271214642255</v>
      </c>
      <c r="I62" s="20">
        <v>138230</v>
      </c>
      <c r="J62" s="21"/>
    </row>
    <row r="63" spans="2:11" x14ac:dyDescent="0.35">
      <c r="B63" s="40">
        <v>5</v>
      </c>
      <c r="C63" s="38" t="s">
        <v>22</v>
      </c>
      <c r="D63" s="25">
        <v>4089168.8</v>
      </c>
      <c r="E63" s="25">
        <v>0</v>
      </c>
      <c r="F63" s="47">
        <f>+E63+D63</f>
        <v>4089168.8</v>
      </c>
      <c r="G63" s="25">
        <f>+G62+F63</f>
        <v>4696237.24</v>
      </c>
      <c r="H63" s="48">
        <f t="shared" si="7"/>
        <v>147.87044415722741</v>
      </c>
      <c r="I63" s="25">
        <f>+I62+1756403.81</f>
        <v>1894633.81</v>
      </c>
      <c r="J63" s="21"/>
    </row>
    <row r="64" spans="2:11" x14ac:dyDescent="0.35">
      <c r="B64" s="40">
        <v>6</v>
      </c>
      <c r="C64" s="38" t="s">
        <v>23</v>
      </c>
      <c r="D64" s="25">
        <f>5584467.11-79989</f>
        <v>5504478.1100000003</v>
      </c>
      <c r="E64" s="25">
        <f>22759+57230</f>
        <v>79989</v>
      </c>
      <c r="F64" s="47">
        <f>+E64+D64</f>
        <v>5584467.1100000003</v>
      </c>
      <c r="G64" s="25">
        <f t="shared" ref="G64" si="8">+G63+F64</f>
        <v>10280704.350000001</v>
      </c>
      <c r="H64" s="48">
        <f t="shared" si="7"/>
        <v>197.89509806777991</v>
      </c>
      <c r="I64" s="25">
        <f>+I63+1556481.84</f>
        <v>3451115.6500000004</v>
      </c>
      <c r="J64" s="21"/>
    </row>
    <row r="65" spans="2:10" x14ac:dyDescent="0.35">
      <c r="B65" s="40">
        <v>7</v>
      </c>
      <c r="C65" s="38" t="s">
        <v>24</v>
      </c>
      <c r="D65" s="25">
        <v>2246964.02</v>
      </c>
      <c r="E65" s="25">
        <v>2731342</v>
      </c>
      <c r="F65" s="47">
        <f t="shared" ref="F65:F86" si="9">+E65+D65</f>
        <v>4978306.0199999996</v>
      </c>
      <c r="G65" s="25">
        <f>+G64+F65</f>
        <v>15259010.370000001</v>
      </c>
      <c r="H65" s="48">
        <f t="shared" si="7"/>
        <v>120.9948176844611</v>
      </c>
      <c r="I65" s="25">
        <f>+I64+3453575.84</f>
        <v>6904691.4900000002</v>
      </c>
      <c r="J65" s="21"/>
    </row>
    <row r="66" spans="2:10" x14ac:dyDescent="0.35">
      <c r="B66" s="40">
        <v>8</v>
      </c>
      <c r="C66" s="38" t="s">
        <v>25</v>
      </c>
      <c r="D66" s="25">
        <v>4496067.58</v>
      </c>
      <c r="E66" s="25">
        <v>0</v>
      </c>
      <c r="F66" s="47">
        <f t="shared" si="9"/>
        <v>4496067.58</v>
      </c>
      <c r="G66" s="25">
        <f t="shared" ref="G66:G86" si="10">+G65+F66</f>
        <v>19755077.950000003</v>
      </c>
      <c r="H66" s="48">
        <f t="shared" si="7"/>
        <v>75.44608122474969</v>
      </c>
      <c r="I66" s="25">
        <v>11259914.050000001</v>
      </c>
      <c r="J66" s="21"/>
    </row>
    <row r="67" spans="2:10" x14ac:dyDescent="0.35">
      <c r="B67" s="40">
        <v>9</v>
      </c>
      <c r="C67" s="38" t="s">
        <v>26</v>
      </c>
      <c r="D67" s="25">
        <v>3394425.52</v>
      </c>
      <c r="E67" s="25">
        <v>3035</v>
      </c>
      <c r="F67" s="47">
        <f t="shared" si="9"/>
        <v>3397460.52</v>
      </c>
      <c r="G67" s="25">
        <f t="shared" si="10"/>
        <v>23152538.470000003</v>
      </c>
      <c r="H67" s="48">
        <f t="shared" si="7"/>
        <v>48.811204713537236</v>
      </c>
      <c r="I67" s="25">
        <f>+I66+4298416.06</f>
        <v>15558330.109999999</v>
      </c>
      <c r="J67" s="21"/>
    </row>
    <row r="68" spans="2:10" x14ac:dyDescent="0.35">
      <c r="B68" s="40">
        <v>10</v>
      </c>
      <c r="C68" s="38" t="s">
        <v>62</v>
      </c>
      <c r="D68" s="25">
        <v>7103794.5199999996</v>
      </c>
      <c r="E68" s="25">
        <v>34326.5</v>
      </c>
      <c r="F68" s="47">
        <f t="shared" si="9"/>
        <v>7138121.0199999996</v>
      </c>
      <c r="G68" s="25">
        <f t="shared" si="10"/>
        <v>30290659.490000002</v>
      </c>
      <c r="H68" s="48">
        <f t="shared" si="7"/>
        <v>41.202731407376085</v>
      </c>
      <c r="I68" s="25">
        <f>+I67+5893563.34</f>
        <v>21451893.449999999</v>
      </c>
      <c r="J68" s="21"/>
    </row>
    <row r="69" spans="2:10" x14ac:dyDescent="0.35">
      <c r="B69" s="40">
        <v>11</v>
      </c>
      <c r="C69" s="38" t="s">
        <v>63</v>
      </c>
      <c r="D69" s="25">
        <v>5533656.0199999996</v>
      </c>
      <c r="E69" s="25">
        <v>0</v>
      </c>
      <c r="F69" s="47">
        <f t="shared" si="9"/>
        <v>5533656.0199999996</v>
      </c>
      <c r="G69" s="25">
        <f t="shared" si="10"/>
        <v>35824315.510000005</v>
      </c>
      <c r="H69" s="48">
        <f t="shared" si="7"/>
        <v>38.121816205521981</v>
      </c>
      <c r="I69" s="25">
        <f>+I68+4484860.42</f>
        <v>25936753.869999997</v>
      </c>
      <c r="J69" s="21"/>
    </row>
    <row r="70" spans="2:10" x14ac:dyDescent="0.35">
      <c r="B70" s="40">
        <v>12</v>
      </c>
      <c r="C70" s="38" t="s">
        <v>78</v>
      </c>
      <c r="D70" s="25">
        <v>5066111.51</v>
      </c>
      <c r="E70" s="25">
        <v>0</v>
      </c>
      <c r="F70" s="47">
        <f t="shared" si="9"/>
        <v>5066111.51</v>
      </c>
      <c r="G70" s="25">
        <f t="shared" si="10"/>
        <v>40890427.020000003</v>
      </c>
      <c r="H70" s="48">
        <f t="shared" si="7"/>
        <v>32.626283435978749</v>
      </c>
      <c r="I70" s="25">
        <f>+I69+4894560.98</f>
        <v>30831314.849999998</v>
      </c>
      <c r="J70" s="21"/>
    </row>
    <row r="71" spans="2:10" x14ac:dyDescent="0.35">
      <c r="B71" s="40">
        <v>13</v>
      </c>
      <c r="C71" s="38" t="s">
        <v>64</v>
      </c>
      <c r="D71" s="25">
        <v>2617583.71</v>
      </c>
      <c r="E71" s="25">
        <v>-12755</v>
      </c>
      <c r="F71" s="47">
        <f t="shared" si="9"/>
        <v>2604828.71</v>
      </c>
      <c r="G71" s="25">
        <f t="shared" si="10"/>
        <v>43495255.730000004</v>
      </c>
      <c r="H71" s="48">
        <f t="shared" si="7"/>
        <v>27.444715692268566</v>
      </c>
      <c r="I71" s="25">
        <v>34128724.359999999</v>
      </c>
      <c r="J71" s="21"/>
    </row>
    <row r="72" spans="2:10" x14ac:dyDescent="0.35">
      <c r="B72" s="40">
        <v>14</v>
      </c>
      <c r="C72" s="58" t="s">
        <v>65</v>
      </c>
      <c r="D72" s="25">
        <v>952765.01</v>
      </c>
      <c r="E72" s="25">
        <v>179717.5</v>
      </c>
      <c r="F72" s="47">
        <f t="shared" si="9"/>
        <v>1132482.51</v>
      </c>
      <c r="G72" s="25">
        <f t="shared" si="10"/>
        <v>44627738.240000002</v>
      </c>
      <c r="H72" s="48">
        <f t="shared" si="7"/>
        <v>16.992601030771159</v>
      </c>
      <c r="I72" s="25">
        <f>+I71+4017053.96</f>
        <v>38145778.32</v>
      </c>
      <c r="J72" s="21"/>
    </row>
    <row r="73" spans="2:10" x14ac:dyDescent="0.35">
      <c r="B73" s="40">
        <v>15</v>
      </c>
      <c r="C73" s="38" t="s">
        <v>66</v>
      </c>
      <c r="D73" s="25">
        <v>1120004.5</v>
      </c>
      <c r="E73" s="25">
        <v>0</v>
      </c>
      <c r="F73" s="47">
        <f t="shared" si="9"/>
        <v>1120004.5</v>
      </c>
      <c r="G73" s="25">
        <f t="shared" si="10"/>
        <v>45747742.740000002</v>
      </c>
      <c r="H73" s="48">
        <f t="shared" si="7"/>
        <v>13.414678641917927</v>
      </c>
      <c r="I73" s="25">
        <f>+I72+2190925.26</f>
        <v>40336703.579999998</v>
      </c>
      <c r="J73" s="21"/>
    </row>
    <row r="74" spans="2:10" x14ac:dyDescent="0.35">
      <c r="B74" s="40">
        <v>16</v>
      </c>
      <c r="C74" s="38" t="s">
        <v>67</v>
      </c>
      <c r="D74" s="25">
        <v>1503171.33</v>
      </c>
      <c r="E74" s="25">
        <v>0</v>
      </c>
      <c r="F74" s="47">
        <f t="shared" si="9"/>
        <v>1503171.33</v>
      </c>
      <c r="G74" s="25">
        <f t="shared" si="10"/>
        <v>47250914.07</v>
      </c>
      <c r="H74" s="48">
        <f t="shared" si="7"/>
        <v>10.691480273488089</v>
      </c>
      <c r="I74" s="25">
        <v>42687037.840000004</v>
      </c>
      <c r="J74" s="21"/>
    </row>
    <row r="75" spans="2:10" x14ac:dyDescent="0.35">
      <c r="B75" s="40">
        <v>17</v>
      </c>
      <c r="C75" s="38" t="s">
        <v>68</v>
      </c>
      <c r="D75" s="25">
        <v>381239</v>
      </c>
      <c r="E75" s="25">
        <v>135843</v>
      </c>
      <c r="F75" s="47">
        <f t="shared" si="9"/>
        <v>517082</v>
      </c>
      <c r="G75" s="25">
        <f t="shared" si="10"/>
        <v>47767996.07</v>
      </c>
      <c r="H75" s="48">
        <f t="shared" si="7"/>
        <v>8.9132331179229443</v>
      </c>
      <c r="I75" s="25">
        <f>+I74+1171724.5</f>
        <v>43858762.340000004</v>
      </c>
      <c r="J75" s="21"/>
    </row>
    <row r="76" spans="2:10" x14ac:dyDescent="0.35">
      <c r="B76" s="40">
        <v>18</v>
      </c>
      <c r="C76" s="38" t="s">
        <v>69</v>
      </c>
      <c r="D76" s="25">
        <v>120453</v>
      </c>
      <c r="E76" s="25">
        <v>0</v>
      </c>
      <c r="F76" s="47">
        <f t="shared" si="9"/>
        <v>120453</v>
      </c>
      <c r="G76" s="25">
        <f t="shared" si="10"/>
        <v>47888449.07</v>
      </c>
      <c r="H76" s="48">
        <f t="shared" si="7"/>
        <v>3.7733708962282586</v>
      </c>
      <c r="I76" s="25">
        <f>+I75+2288383.75</f>
        <v>46147146.090000004</v>
      </c>
      <c r="J76" s="21"/>
    </row>
    <row r="77" spans="2:10" x14ac:dyDescent="0.35">
      <c r="B77" s="40">
        <v>19</v>
      </c>
      <c r="C77" s="38" t="s">
        <v>70</v>
      </c>
      <c r="D77" s="25">
        <v>581257.5</v>
      </c>
      <c r="E77" s="25">
        <v>0</v>
      </c>
      <c r="F77" s="47">
        <f t="shared" si="9"/>
        <v>581257.5</v>
      </c>
      <c r="G77" s="25">
        <f t="shared" si="10"/>
        <v>48469706.57</v>
      </c>
      <c r="H77" s="48">
        <f t="shared" si="7"/>
        <v>3.2223790435278183</v>
      </c>
      <c r="I77" s="25">
        <f>+I76+809441.25</f>
        <v>46956587.340000004</v>
      </c>
      <c r="J77" s="21"/>
    </row>
    <row r="78" spans="2:10" x14ac:dyDescent="0.35">
      <c r="B78" s="40">
        <v>20</v>
      </c>
      <c r="C78" s="38" t="s">
        <v>71</v>
      </c>
      <c r="D78" s="25">
        <v>62924</v>
      </c>
      <c r="E78" s="25">
        <v>-19420</v>
      </c>
      <c r="F78" s="47">
        <f t="shared" si="9"/>
        <v>43504</v>
      </c>
      <c r="G78" s="25">
        <f t="shared" si="10"/>
        <v>48513210.57</v>
      </c>
      <c r="H78" s="48">
        <f t="shared" si="7"/>
        <v>2.4091298185017616</v>
      </c>
      <c r="I78" s="25">
        <f>+I77+415371.25</f>
        <v>47371958.590000004</v>
      </c>
      <c r="J78" s="21"/>
    </row>
    <row r="79" spans="2:10" x14ac:dyDescent="0.35">
      <c r="B79" s="40">
        <v>21</v>
      </c>
      <c r="C79" s="38" t="s">
        <v>72</v>
      </c>
      <c r="D79" s="25">
        <v>75637.5</v>
      </c>
      <c r="E79" s="25">
        <v>0</v>
      </c>
      <c r="F79" s="47">
        <f t="shared" si="9"/>
        <v>75637.5</v>
      </c>
      <c r="G79" s="25">
        <f t="shared" si="10"/>
        <v>48588848.07</v>
      </c>
      <c r="H79" s="48">
        <f t="shared" si="7"/>
        <v>1.3537887861421884</v>
      </c>
      <c r="I79" s="25">
        <f>+I78+567885.25</f>
        <v>47939843.840000004</v>
      </c>
      <c r="J79" s="21"/>
    </row>
    <row r="80" spans="2:10" x14ac:dyDescent="0.35">
      <c r="B80" s="40">
        <v>22</v>
      </c>
      <c r="C80" s="38" t="s">
        <v>73</v>
      </c>
      <c r="D80" s="25">
        <v>113363.5</v>
      </c>
      <c r="E80" s="25">
        <v>0</v>
      </c>
      <c r="F80" s="47">
        <f t="shared" si="9"/>
        <v>113363.5</v>
      </c>
      <c r="G80" s="25">
        <f t="shared" si="10"/>
        <v>48702211.57</v>
      </c>
      <c r="H80" s="48">
        <f t="shared" si="7"/>
        <v>1.4227919458788489</v>
      </c>
      <c r="I80" s="25">
        <f>+I79+79157.25</f>
        <v>48019001.090000004</v>
      </c>
      <c r="J80" s="21"/>
    </row>
    <row r="81" spans="2:11" x14ac:dyDescent="0.35">
      <c r="B81" s="40">
        <v>23</v>
      </c>
      <c r="C81" s="38" t="s">
        <v>80</v>
      </c>
      <c r="D81" s="25">
        <v>222278.5</v>
      </c>
      <c r="E81" s="25">
        <v>-69279</v>
      </c>
      <c r="F81" s="47">
        <f t="shared" si="9"/>
        <v>152999.5</v>
      </c>
      <c r="G81" s="25">
        <f t="shared" si="10"/>
        <v>48855211.07</v>
      </c>
      <c r="H81" s="48">
        <f t="shared" si="7"/>
        <v>1.6976692547168697</v>
      </c>
      <c r="I81" s="25">
        <f>+I80+20655.5</f>
        <v>48039656.590000004</v>
      </c>
      <c r="J81" s="21"/>
    </row>
    <row r="82" spans="2:11" x14ac:dyDescent="0.35">
      <c r="B82" s="40">
        <v>24</v>
      </c>
      <c r="C82" s="38" t="s">
        <v>75</v>
      </c>
      <c r="D82" s="25">
        <v>37973</v>
      </c>
      <c r="E82" s="25">
        <v>0</v>
      </c>
      <c r="F82" s="47">
        <f t="shared" si="9"/>
        <v>37973</v>
      </c>
      <c r="G82" s="25">
        <f t="shared" si="10"/>
        <v>48893184.07</v>
      </c>
      <c r="H82" s="48">
        <f t="shared" si="7"/>
        <v>1.7868540956866721</v>
      </c>
      <c r="I82" s="25">
        <f>+I81-4785.58</f>
        <v>48034871.010000005</v>
      </c>
      <c r="J82" s="21"/>
    </row>
    <row r="83" spans="2:11" x14ac:dyDescent="0.35">
      <c r="B83" s="40">
        <v>25</v>
      </c>
      <c r="C83" s="77" t="s">
        <v>82</v>
      </c>
      <c r="D83" s="25">
        <v>74172</v>
      </c>
      <c r="E83" s="25">
        <v>0</v>
      </c>
      <c r="F83" s="47">
        <f t="shared" si="9"/>
        <v>74172</v>
      </c>
      <c r="G83" s="25">
        <f t="shared" si="10"/>
        <v>48967356.07</v>
      </c>
      <c r="H83" s="48">
        <f t="shared" si="7"/>
        <v>1.9412669179560575</v>
      </c>
      <c r="I83" s="25">
        <f>+I82+0</f>
        <v>48034871.010000005</v>
      </c>
      <c r="J83" s="21"/>
    </row>
    <row r="84" spans="2:11" x14ac:dyDescent="0.35">
      <c r="B84" s="111">
        <v>26</v>
      </c>
      <c r="C84" s="112" t="s">
        <v>77</v>
      </c>
      <c r="D84" s="105">
        <v>52969.9</v>
      </c>
      <c r="E84" s="106">
        <v>37775</v>
      </c>
      <c r="F84" s="107">
        <f t="shared" si="9"/>
        <v>90744.9</v>
      </c>
      <c r="G84" s="106">
        <f t="shared" si="10"/>
        <v>49058100.969999999</v>
      </c>
      <c r="H84" s="48">
        <f t="shared" si="7"/>
        <v>2.1301815503719688</v>
      </c>
      <c r="I84" s="25">
        <f>+I83+0</f>
        <v>48034871.010000005</v>
      </c>
      <c r="J84" s="21"/>
      <c r="K84" s="1"/>
    </row>
    <row r="85" spans="2:11" x14ac:dyDescent="0.35">
      <c r="B85" s="111">
        <v>27</v>
      </c>
      <c r="C85" s="77" t="s">
        <v>81</v>
      </c>
      <c r="D85" s="119">
        <v>32188.5</v>
      </c>
      <c r="E85" s="120">
        <v>0</v>
      </c>
      <c r="F85" s="121">
        <f t="shared" si="9"/>
        <v>32188.5</v>
      </c>
      <c r="G85" s="120">
        <f t="shared" si="10"/>
        <v>49090289.469999999</v>
      </c>
      <c r="H85" s="48">
        <f t="shared" si="7"/>
        <v>2.1971922434855169</v>
      </c>
      <c r="I85" s="25">
        <f>+I84+0</f>
        <v>48034871.010000005</v>
      </c>
      <c r="J85" s="21"/>
      <c r="K85" s="1"/>
    </row>
    <row r="86" spans="2:11" x14ac:dyDescent="0.35">
      <c r="B86" s="110">
        <v>28</v>
      </c>
      <c r="C86" s="77" t="s">
        <v>87</v>
      </c>
      <c r="D86" s="108">
        <v>34830</v>
      </c>
      <c r="E86" s="108">
        <v>-195777</v>
      </c>
      <c r="F86" s="109">
        <f t="shared" si="9"/>
        <v>-160947</v>
      </c>
      <c r="G86" s="109">
        <f t="shared" si="10"/>
        <v>48929342.469999999</v>
      </c>
      <c r="H86" s="44">
        <f t="shared" si="7"/>
        <v>1.8670570019358883</v>
      </c>
      <c r="I86" s="20">
        <f>+I85-2323.58</f>
        <v>48032547.430000007</v>
      </c>
      <c r="J86" s="21"/>
      <c r="K86" s="1"/>
    </row>
    <row r="87" spans="2:11" hidden="1" x14ac:dyDescent="0.35">
      <c r="B87" s="40">
        <v>29</v>
      </c>
      <c r="C87" s="16" t="s">
        <v>30</v>
      </c>
      <c r="D87" s="25"/>
      <c r="E87" s="25"/>
      <c r="F87" s="47">
        <f t="shared" ref="F87:F100" si="11">+E87+D87</f>
        <v>0</v>
      </c>
      <c r="G87" s="25">
        <f t="shared" ref="G87:G88" si="12">+G86+F87</f>
        <v>48929342.469999999</v>
      </c>
      <c r="H87" s="48">
        <v>0</v>
      </c>
      <c r="I87" s="25">
        <v>0</v>
      </c>
      <c r="J87" s="21"/>
      <c r="K87" s="1"/>
    </row>
    <row r="88" spans="2:11" hidden="1" x14ac:dyDescent="0.35">
      <c r="B88" s="40">
        <v>30</v>
      </c>
      <c r="C88" s="16" t="s">
        <v>31</v>
      </c>
      <c r="D88" s="25"/>
      <c r="E88" s="25"/>
      <c r="F88" s="47">
        <f t="shared" si="11"/>
        <v>0</v>
      </c>
      <c r="G88" s="25">
        <f t="shared" si="12"/>
        <v>48929342.469999999</v>
      </c>
      <c r="H88" s="48">
        <v>0</v>
      </c>
      <c r="I88" s="25">
        <v>0</v>
      </c>
      <c r="J88" s="21"/>
      <c r="K88" s="1"/>
    </row>
    <row r="89" spans="2:11" hidden="1" x14ac:dyDescent="0.35">
      <c r="B89" s="40">
        <v>31</v>
      </c>
      <c r="C89" s="16" t="s">
        <v>28</v>
      </c>
      <c r="D89" s="25"/>
      <c r="E89" s="25"/>
      <c r="F89" s="47">
        <f t="shared" ref="F89:F96" si="13">+E89+D89</f>
        <v>0</v>
      </c>
      <c r="G89" s="25">
        <f t="shared" ref="G89:G96" si="14">+G88+F89</f>
        <v>48929342.469999999</v>
      </c>
      <c r="H89" s="48">
        <v>0</v>
      </c>
      <c r="I89" s="25">
        <v>0</v>
      </c>
      <c r="J89" s="21"/>
    </row>
    <row r="90" spans="2:11" hidden="1" x14ac:dyDescent="0.35">
      <c r="B90" s="40">
        <v>32</v>
      </c>
      <c r="C90" s="16" t="s">
        <v>29</v>
      </c>
      <c r="D90" s="25"/>
      <c r="E90" s="25"/>
      <c r="F90" s="47">
        <f t="shared" si="13"/>
        <v>0</v>
      </c>
      <c r="G90" s="25">
        <f t="shared" si="14"/>
        <v>48929342.469999999</v>
      </c>
      <c r="H90" s="48">
        <v>0</v>
      </c>
      <c r="I90" s="25">
        <v>0</v>
      </c>
      <c r="J90" s="21"/>
    </row>
    <row r="91" spans="2:11" hidden="1" x14ac:dyDescent="0.35">
      <c r="B91" s="40">
        <v>33</v>
      </c>
      <c r="C91" s="16" t="s">
        <v>30</v>
      </c>
      <c r="D91" s="25"/>
      <c r="E91" s="25"/>
      <c r="F91" s="47">
        <f t="shared" si="13"/>
        <v>0</v>
      </c>
      <c r="G91" s="25">
        <f t="shared" si="14"/>
        <v>48929342.469999999</v>
      </c>
      <c r="H91" s="48">
        <v>0</v>
      </c>
      <c r="I91" s="25">
        <v>0</v>
      </c>
      <c r="J91" s="21"/>
    </row>
    <row r="92" spans="2:11" hidden="1" x14ac:dyDescent="0.35">
      <c r="B92" s="40">
        <v>34</v>
      </c>
      <c r="C92" s="16" t="s">
        <v>31</v>
      </c>
      <c r="D92" s="25"/>
      <c r="E92" s="25"/>
      <c r="F92" s="47">
        <f t="shared" si="13"/>
        <v>0</v>
      </c>
      <c r="G92" s="25">
        <f t="shared" si="14"/>
        <v>48929342.469999999</v>
      </c>
      <c r="H92" s="48">
        <v>0</v>
      </c>
      <c r="I92" s="25">
        <v>0</v>
      </c>
      <c r="J92" s="21"/>
    </row>
    <row r="93" spans="2:11" hidden="1" x14ac:dyDescent="0.35">
      <c r="B93" s="40">
        <v>35</v>
      </c>
      <c r="C93" s="17" t="s">
        <v>32</v>
      </c>
      <c r="D93" s="25"/>
      <c r="E93" s="25"/>
      <c r="F93" s="47">
        <f t="shared" si="13"/>
        <v>0</v>
      </c>
      <c r="G93" s="25">
        <f t="shared" si="14"/>
        <v>48929342.469999999</v>
      </c>
      <c r="H93" s="48">
        <v>0</v>
      </c>
      <c r="I93" s="25">
        <v>0</v>
      </c>
      <c r="J93" s="21"/>
    </row>
    <row r="94" spans="2:11" hidden="1" x14ac:dyDescent="0.35">
      <c r="B94" s="40">
        <v>36</v>
      </c>
      <c r="C94" s="16" t="s">
        <v>27</v>
      </c>
      <c r="D94" s="25"/>
      <c r="E94" s="25"/>
      <c r="F94" s="47">
        <f t="shared" si="13"/>
        <v>0</v>
      </c>
      <c r="G94" s="25">
        <f t="shared" si="14"/>
        <v>48929342.469999999</v>
      </c>
      <c r="H94" s="48">
        <v>0</v>
      </c>
      <c r="I94" s="25">
        <v>0</v>
      </c>
      <c r="J94" s="21"/>
      <c r="K94" s="1"/>
    </row>
    <row r="95" spans="2:11" hidden="1" x14ac:dyDescent="0.35">
      <c r="B95" s="40">
        <v>37</v>
      </c>
      <c r="C95" s="16" t="s">
        <v>28</v>
      </c>
      <c r="D95" s="25"/>
      <c r="E95" s="25"/>
      <c r="F95" s="47">
        <f t="shared" si="13"/>
        <v>0</v>
      </c>
      <c r="G95" s="25">
        <f t="shared" si="14"/>
        <v>48929342.469999999</v>
      </c>
      <c r="H95" s="48">
        <v>0</v>
      </c>
      <c r="I95" s="25">
        <v>0</v>
      </c>
      <c r="J95" s="21"/>
      <c r="K95" s="1"/>
    </row>
    <row r="96" spans="2:11" hidden="1" x14ac:dyDescent="0.35">
      <c r="B96" s="40">
        <v>38</v>
      </c>
      <c r="C96" s="16" t="s">
        <v>29</v>
      </c>
      <c r="D96" s="25"/>
      <c r="E96" s="25"/>
      <c r="F96" s="47">
        <f t="shared" si="13"/>
        <v>0</v>
      </c>
      <c r="G96" s="25">
        <f t="shared" si="14"/>
        <v>48929342.469999999</v>
      </c>
      <c r="H96" s="48">
        <v>0</v>
      </c>
      <c r="I96" s="25">
        <v>0</v>
      </c>
      <c r="J96" s="21"/>
      <c r="K96" s="1"/>
    </row>
    <row r="97" spans="2:11" hidden="1" x14ac:dyDescent="0.35">
      <c r="B97" s="40">
        <v>39</v>
      </c>
      <c r="C97" s="17" t="s">
        <v>32</v>
      </c>
      <c r="D97" s="25"/>
      <c r="E97" s="25"/>
      <c r="F97" s="47">
        <f t="shared" si="11"/>
        <v>0</v>
      </c>
      <c r="G97" s="25">
        <f>+G88+F97</f>
        <v>48929342.469999999</v>
      </c>
      <c r="H97" s="48">
        <v>0</v>
      </c>
      <c r="I97" s="25">
        <v>0</v>
      </c>
      <c r="J97" s="21"/>
      <c r="K97" s="1"/>
    </row>
    <row r="98" spans="2:11" hidden="1" x14ac:dyDescent="0.35">
      <c r="B98" s="40">
        <v>40</v>
      </c>
      <c r="C98" s="103"/>
      <c r="D98" s="91"/>
      <c r="E98" s="91"/>
      <c r="F98" s="92"/>
      <c r="G98" s="91"/>
      <c r="H98" s="104"/>
      <c r="I98" s="91"/>
      <c r="J98" s="21"/>
      <c r="K98" s="1"/>
    </row>
    <row r="99" spans="2:11" hidden="1" x14ac:dyDescent="0.35">
      <c r="B99" s="40">
        <v>41</v>
      </c>
      <c r="C99" s="27" t="s">
        <v>33</v>
      </c>
      <c r="D99" s="31"/>
      <c r="E99" s="31"/>
      <c r="F99" s="55">
        <f t="shared" si="11"/>
        <v>0</v>
      </c>
      <c r="G99" s="31">
        <f>+G97+F99</f>
        <v>48929342.469999999</v>
      </c>
      <c r="H99" s="56">
        <v>0</v>
      </c>
      <c r="I99" s="31">
        <v>0</v>
      </c>
      <c r="J99" s="21"/>
      <c r="K99" s="1"/>
    </row>
    <row r="100" spans="2:11" hidden="1" x14ac:dyDescent="0.35">
      <c r="B100" s="40">
        <v>42</v>
      </c>
      <c r="C100" s="27" t="s">
        <v>33</v>
      </c>
      <c r="D100" s="31"/>
      <c r="E100" s="31"/>
      <c r="F100" s="55">
        <f t="shared" si="11"/>
        <v>0</v>
      </c>
      <c r="G100" s="31">
        <f>+G83+F100</f>
        <v>48967356.07</v>
      </c>
      <c r="H100" s="56">
        <v>0</v>
      </c>
      <c r="I100" s="31">
        <v>0</v>
      </c>
      <c r="J100" s="21"/>
    </row>
    <row r="101" spans="2:11" x14ac:dyDescent="0.35">
      <c r="B101" s="5"/>
      <c r="C101" s="5"/>
      <c r="D101" s="6"/>
      <c r="E101" s="6"/>
      <c r="F101" s="6"/>
      <c r="G101" s="6"/>
      <c r="H101" s="6"/>
      <c r="I101" s="6"/>
      <c r="J101" s="5"/>
    </row>
    <row r="102" spans="2:11" x14ac:dyDescent="0.35">
      <c r="B102" s="8" t="s">
        <v>34</v>
      </c>
      <c r="C102" s="5"/>
      <c r="D102" s="6"/>
      <c r="E102" s="6"/>
      <c r="F102" s="6"/>
      <c r="G102" s="6"/>
      <c r="H102" s="6"/>
      <c r="I102" s="6"/>
      <c r="J102" s="5"/>
    </row>
    <row r="103" spans="2:11" x14ac:dyDescent="0.35">
      <c r="B103" s="9" t="s">
        <v>35</v>
      </c>
      <c r="C103" s="5"/>
      <c r="D103" s="6"/>
      <c r="E103" s="6"/>
      <c r="F103" s="6"/>
      <c r="G103" s="6"/>
      <c r="H103" s="6"/>
      <c r="I103" s="6"/>
      <c r="J103" s="5"/>
    </row>
    <row r="104" spans="2:11" x14ac:dyDescent="0.35">
      <c r="B104" s="9" t="s">
        <v>36</v>
      </c>
      <c r="C104" s="5"/>
      <c r="D104" s="6"/>
      <c r="E104" s="6"/>
      <c r="F104" s="6"/>
      <c r="G104" s="6"/>
      <c r="H104" s="6"/>
      <c r="I104" s="6"/>
      <c r="J104" s="5"/>
    </row>
    <row r="105" spans="2:11" x14ac:dyDescent="0.35">
      <c r="B105" s="9" t="s">
        <v>37</v>
      </c>
      <c r="C105" s="5"/>
      <c r="D105" s="6"/>
      <c r="E105" s="6"/>
      <c r="F105" s="6"/>
      <c r="G105" s="6"/>
      <c r="H105" s="6"/>
      <c r="I105" s="6"/>
      <c r="J105" s="5"/>
    </row>
    <row r="106" spans="2:11" x14ac:dyDescent="0.35">
      <c r="B106" s="10"/>
      <c r="C106" s="10"/>
      <c r="D106" s="42"/>
      <c r="E106" s="42"/>
      <c r="F106" s="42"/>
      <c r="G106" s="42"/>
      <c r="H106" s="42"/>
      <c r="I106" s="42"/>
      <c r="J106" s="10"/>
    </row>
    <row r="107" spans="2:11" x14ac:dyDescent="0.35">
      <c r="B107" s="10"/>
      <c r="C107" s="10"/>
      <c r="D107" s="42"/>
      <c r="E107" s="42"/>
      <c r="F107" s="42"/>
      <c r="G107" s="42"/>
      <c r="H107" s="42"/>
      <c r="I107" s="42"/>
      <c r="J107" s="10"/>
    </row>
    <row r="108" spans="2:11" ht="18.5" x14ac:dyDescent="0.45">
      <c r="B108" s="10"/>
      <c r="C108" s="10"/>
      <c r="D108" s="148" t="s">
        <v>40</v>
      </c>
      <c r="E108" s="148"/>
      <c r="F108" s="148"/>
      <c r="G108" s="148"/>
      <c r="H108" s="148"/>
      <c r="I108" s="148"/>
      <c r="J108" s="10"/>
    </row>
    <row r="109" spans="2:11" s="35" customFormat="1" ht="16" x14ac:dyDescent="0.4">
      <c r="B109" s="26"/>
      <c r="C109" s="26"/>
      <c r="D109" s="157" t="s">
        <v>42</v>
      </c>
      <c r="E109" s="157"/>
      <c r="F109" s="157"/>
      <c r="G109" s="157"/>
      <c r="H109" s="157"/>
      <c r="I109" s="157"/>
      <c r="J109" s="26"/>
    </row>
    <row r="110" spans="2:11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1" ht="14.4" customHeight="1" x14ac:dyDescent="0.35">
      <c r="B111" s="14"/>
      <c r="C111" s="15"/>
      <c r="D111" s="142" t="s">
        <v>6</v>
      </c>
      <c r="E111" s="143"/>
      <c r="F111" s="143"/>
      <c r="G111" s="144"/>
      <c r="H111" s="129" t="s">
        <v>7</v>
      </c>
      <c r="I111" s="130"/>
      <c r="J111" s="4"/>
    </row>
    <row r="112" spans="2:11" x14ac:dyDescent="0.35">
      <c r="B112" s="12"/>
      <c r="C112" s="13"/>
      <c r="D112" s="145" t="s">
        <v>9</v>
      </c>
      <c r="E112" s="146"/>
      <c r="F112" s="146"/>
      <c r="G112" s="147"/>
      <c r="H112" s="131"/>
      <c r="I112" s="132"/>
      <c r="J112" s="4"/>
    </row>
    <row r="113" spans="2:10" ht="14.4" customHeight="1" x14ac:dyDescent="0.35">
      <c r="B113" s="133" t="s">
        <v>10</v>
      </c>
      <c r="C113" s="135" t="s">
        <v>11</v>
      </c>
      <c r="D113" s="51" t="s">
        <v>12</v>
      </c>
      <c r="E113" s="51" t="s">
        <v>13</v>
      </c>
      <c r="F113" s="51" t="s">
        <v>14</v>
      </c>
      <c r="G113" s="51" t="s">
        <v>15</v>
      </c>
      <c r="H113" s="124" t="s">
        <v>16</v>
      </c>
      <c r="I113" s="126" t="s">
        <v>17</v>
      </c>
      <c r="J113" s="19"/>
    </row>
    <row r="114" spans="2:10" ht="37.65" customHeight="1" x14ac:dyDescent="0.35">
      <c r="B114" s="134"/>
      <c r="C114" s="136"/>
      <c r="D114" s="154" t="s">
        <v>20</v>
      </c>
      <c r="E114" s="155"/>
      <c r="F114" s="155"/>
      <c r="G114" s="156"/>
      <c r="H114" s="125"/>
      <c r="I114" s="127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e">
        <f t="shared" ref="H115:H139" si="15">((G115-I115)/I115)*100</f>
        <v>#DIV/0!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233713.08</v>
      </c>
      <c r="E116" s="25">
        <v>0</v>
      </c>
      <c r="F116" s="47">
        <f>+E116+D116</f>
        <v>233713.08</v>
      </c>
      <c r="G116" s="25">
        <f>+G115+F116</f>
        <v>233713.08</v>
      </c>
      <c r="H116" s="48">
        <f t="shared" si="15"/>
        <v>248.92668127488312</v>
      </c>
      <c r="I116" s="25">
        <v>66980.570000000007</v>
      </c>
      <c r="J116" s="21"/>
    </row>
    <row r="117" spans="2:10" x14ac:dyDescent="0.35">
      <c r="B117" s="40">
        <v>6</v>
      </c>
      <c r="C117" s="38" t="s">
        <v>23</v>
      </c>
      <c r="D117" s="25">
        <v>477400.58</v>
      </c>
      <c r="E117" s="25">
        <v>0</v>
      </c>
      <c r="F117" s="47">
        <f>+E117+D117</f>
        <v>477400.58</v>
      </c>
      <c r="G117" s="25">
        <f t="shared" ref="G117" si="16">+G116+F117</f>
        <v>711113.66</v>
      </c>
      <c r="H117" s="48">
        <f t="shared" si="15"/>
        <v>62.990274771891343</v>
      </c>
      <c r="I117" s="25">
        <f>+I116+369311.51</f>
        <v>436292.08</v>
      </c>
      <c r="J117" s="21"/>
    </row>
    <row r="118" spans="2:10" x14ac:dyDescent="0.35">
      <c r="B118" s="40">
        <v>7</v>
      </c>
      <c r="C118" s="38" t="s">
        <v>24</v>
      </c>
      <c r="D118" s="25">
        <v>195276.6</v>
      </c>
      <c r="E118" s="25">
        <v>447506</v>
      </c>
      <c r="F118" s="47">
        <f t="shared" ref="F118:F139" si="17">+E118+D118</f>
        <v>642782.6</v>
      </c>
      <c r="G118" s="25">
        <f>+G117+F118</f>
        <v>1353896.26</v>
      </c>
      <c r="H118" s="48">
        <f t="shared" si="15"/>
        <v>54.094443161932915</v>
      </c>
      <c r="I118" s="25">
        <f>+I117+442322.51</f>
        <v>878614.59000000008</v>
      </c>
      <c r="J118" s="21"/>
    </row>
    <row r="119" spans="2:10" x14ac:dyDescent="0.35">
      <c r="B119" s="40">
        <v>8</v>
      </c>
      <c r="C119" s="38" t="s">
        <v>25</v>
      </c>
      <c r="D119" s="25">
        <v>637410.01</v>
      </c>
      <c r="E119" s="25">
        <v>0</v>
      </c>
      <c r="F119" s="47">
        <f t="shared" si="17"/>
        <v>637410.01</v>
      </c>
      <c r="G119" s="25">
        <f t="shared" ref="G119:G137" si="18">+G118+F119</f>
        <v>1991306.27</v>
      </c>
      <c r="H119" s="48">
        <f t="shared" si="15"/>
        <v>1.9515345342059538</v>
      </c>
      <c r="I119" s="25">
        <v>1953189.11</v>
      </c>
      <c r="J119" s="21"/>
    </row>
    <row r="120" spans="2:10" x14ac:dyDescent="0.35">
      <c r="B120" s="40">
        <v>9</v>
      </c>
      <c r="C120" s="38" t="s">
        <v>26</v>
      </c>
      <c r="D120" s="25">
        <v>961223.61</v>
      </c>
      <c r="E120" s="25">
        <v>-3035</v>
      </c>
      <c r="F120" s="47">
        <f t="shared" si="17"/>
        <v>958188.61</v>
      </c>
      <c r="G120" s="25">
        <f t="shared" si="18"/>
        <v>2949494.88</v>
      </c>
      <c r="H120" s="48">
        <f t="shared" si="15"/>
        <v>10.513526543785867</v>
      </c>
      <c r="I120" s="25">
        <f>+I119+715710.32</f>
        <v>2668899.4300000002</v>
      </c>
      <c r="J120" s="21"/>
    </row>
    <row r="121" spans="2:10" x14ac:dyDescent="0.35">
      <c r="B121" s="40">
        <v>10</v>
      </c>
      <c r="C121" s="38" t="s">
        <v>62</v>
      </c>
      <c r="D121" s="25">
        <v>1483791.54</v>
      </c>
      <c r="E121" s="25">
        <v>0</v>
      </c>
      <c r="F121" s="47">
        <f>+E121+D121</f>
        <v>1483791.54</v>
      </c>
      <c r="G121" s="25">
        <f>+G120+F121</f>
        <v>4433286.42</v>
      </c>
      <c r="H121" s="48">
        <f t="shared" si="15"/>
        <v>15.222139872174056</v>
      </c>
      <c r="I121" s="25">
        <f>+I120+1178700.02</f>
        <v>3847599.45</v>
      </c>
      <c r="J121" s="21"/>
    </row>
    <row r="122" spans="2:10" x14ac:dyDescent="0.35">
      <c r="B122" s="40">
        <v>11</v>
      </c>
      <c r="C122" s="38" t="s">
        <v>63</v>
      </c>
      <c r="D122" s="25">
        <v>1604442.54</v>
      </c>
      <c r="E122" s="25">
        <v>0</v>
      </c>
      <c r="F122" s="47">
        <f t="shared" si="17"/>
        <v>1604442.54</v>
      </c>
      <c r="G122" s="25">
        <f>+G121+F122</f>
        <v>6037728.96</v>
      </c>
      <c r="H122" s="48">
        <f t="shared" si="15"/>
        <v>16.978615475089708</v>
      </c>
      <c r="I122" s="25">
        <f>+I121+1313796.02</f>
        <v>5161395.4700000007</v>
      </c>
      <c r="J122" s="21"/>
    </row>
    <row r="123" spans="2:10" x14ac:dyDescent="0.35">
      <c r="B123" s="40">
        <v>12</v>
      </c>
      <c r="C123" s="38" t="s">
        <v>78</v>
      </c>
      <c r="D123" s="25">
        <v>1840013.53</v>
      </c>
      <c r="E123" s="25">
        <v>0</v>
      </c>
      <c r="F123" s="47">
        <f t="shared" si="17"/>
        <v>1840013.53</v>
      </c>
      <c r="G123" s="25">
        <f t="shared" si="18"/>
        <v>7877742.4900000002</v>
      </c>
      <c r="H123" s="48">
        <f t="shared" si="15"/>
        <v>19.818703326300398</v>
      </c>
      <c r="I123" s="25">
        <f>+I122+1413323.06</f>
        <v>6574718.5300000012</v>
      </c>
      <c r="J123" s="21"/>
    </row>
    <row r="124" spans="2:10" x14ac:dyDescent="0.35">
      <c r="B124" s="40">
        <v>13</v>
      </c>
      <c r="C124" s="38" t="s">
        <v>64</v>
      </c>
      <c r="D124" s="25">
        <v>1540077.06</v>
      </c>
      <c r="E124" s="25">
        <v>12755</v>
      </c>
      <c r="F124" s="47">
        <f t="shared" si="17"/>
        <v>1552832.06</v>
      </c>
      <c r="G124" s="25">
        <f t="shared" si="18"/>
        <v>9430574.5500000007</v>
      </c>
      <c r="H124" s="48">
        <f t="shared" si="15"/>
        <v>27.816979832914303</v>
      </c>
      <c r="I124" s="25">
        <v>7378186.0300000003</v>
      </c>
      <c r="J124" s="21"/>
    </row>
    <row r="125" spans="2:10" x14ac:dyDescent="0.35">
      <c r="B125" s="40">
        <v>14</v>
      </c>
      <c r="C125" s="58" t="s">
        <v>65</v>
      </c>
      <c r="D125" s="25">
        <v>278079.51</v>
      </c>
      <c r="E125" s="25">
        <v>0</v>
      </c>
      <c r="F125" s="47">
        <f t="shared" si="17"/>
        <v>278079.51</v>
      </c>
      <c r="G125" s="25">
        <f t="shared" si="18"/>
        <v>9708654.0600000005</v>
      </c>
      <c r="H125" s="48">
        <f t="shared" si="15"/>
        <v>23.209060294541977</v>
      </c>
      <c r="I125" s="25">
        <f>+I124+501635.5</f>
        <v>7879821.5300000003</v>
      </c>
      <c r="J125" s="21"/>
    </row>
    <row r="126" spans="2:10" x14ac:dyDescent="0.35">
      <c r="B126" s="40">
        <v>15</v>
      </c>
      <c r="C126" s="38" t="s">
        <v>66</v>
      </c>
      <c r="D126" s="25">
        <v>296144.5</v>
      </c>
      <c r="E126" s="25">
        <v>0</v>
      </c>
      <c r="F126" s="47">
        <f t="shared" si="17"/>
        <v>296144.5</v>
      </c>
      <c r="G126" s="25">
        <f t="shared" si="18"/>
        <v>10004798.560000001</v>
      </c>
      <c r="H126" s="48">
        <f t="shared" si="15"/>
        <v>20.073364586689131</v>
      </c>
      <c r="I126" s="25">
        <f>+I125+452416.51</f>
        <v>8332238.04</v>
      </c>
      <c r="J126" s="21"/>
    </row>
    <row r="127" spans="2:10" x14ac:dyDescent="0.35">
      <c r="B127" s="40">
        <v>16</v>
      </c>
      <c r="C127" s="38" t="s">
        <v>67</v>
      </c>
      <c r="D127" s="25">
        <v>248130.5</v>
      </c>
      <c r="E127" s="25">
        <v>0</v>
      </c>
      <c r="F127" s="47">
        <f t="shared" si="17"/>
        <v>248130.5</v>
      </c>
      <c r="G127" s="25">
        <f t="shared" si="18"/>
        <v>10252929.060000001</v>
      </c>
      <c r="H127" s="48">
        <f t="shared" si="15"/>
        <v>17.033564006451741</v>
      </c>
      <c r="I127" s="25">
        <v>8760674.0399999991</v>
      </c>
      <c r="J127" s="21"/>
    </row>
    <row r="128" spans="2:10" x14ac:dyDescent="0.35">
      <c r="B128" s="40">
        <v>17</v>
      </c>
      <c r="C128" s="38" t="s">
        <v>68</v>
      </c>
      <c r="D128" s="25">
        <v>204736.03</v>
      </c>
      <c r="E128" s="25">
        <v>0</v>
      </c>
      <c r="F128" s="47">
        <f t="shared" si="17"/>
        <v>204736.03</v>
      </c>
      <c r="G128" s="25">
        <f t="shared" si="18"/>
        <v>10457665.09</v>
      </c>
      <c r="H128" s="48">
        <f t="shared" si="15"/>
        <v>13.823290191513504</v>
      </c>
      <c r="I128" s="25">
        <f>+I127+426958.01</f>
        <v>9187632.0499999989</v>
      </c>
      <c r="J128" s="21"/>
    </row>
    <row r="129" spans="2:11" x14ac:dyDescent="0.35">
      <c r="B129" s="40">
        <v>18</v>
      </c>
      <c r="C129" s="38" t="s">
        <v>69</v>
      </c>
      <c r="D129" s="25">
        <v>154663.51999999999</v>
      </c>
      <c r="E129" s="25">
        <v>0</v>
      </c>
      <c r="F129" s="47">
        <f t="shared" si="17"/>
        <v>154663.51999999999</v>
      </c>
      <c r="G129" s="25">
        <f t="shared" si="18"/>
        <v>10612328.609999999</v>
      </c>
      <c r="H129" s="48">
        <f t="shared" si="15"/>
        <v>12.181394382759329</v>
      </c>
      <c r="I129" s="25">
        <f>+I128+272340.05</f>
        <v>9459972.0999999996</v>
      </c>
      <c r="J129" s="21"/>
    </row>
    <row r="130" spans="2:11" x14ac:dyDescent="0.35">
      <c r="B130" s="40">
        <v>19</v>
      </c>
      <c r="C130" s="38" t="s">
        <v>70</v>
      </c>
      <c r="D130" s="25">
        <v>184065.5</v>
      </c>
      <c r="E130" s="25">
        <v>0</v>
      </c>
      <c r="F130" s="47">
        <f t="shared" si="17"/>
        <v>184065.5</v>
      </c>
      <c r="G130" s="25">
        <f t="shared" si="18"/>
        <v>10796394.109999999</v>
      </c>
      <c r="H130" s="48">
        <f t="shared" si="15"/>
        <v>10.4942413263053</v>
      </c>
      <c r="I130" s="25">
        <f>+I129+311029.52</f>
        <v>9771001.6199999992</v>
      </c>
      <c r="J130" s="21"/>
    </row>
    <row r="131" spans="2:11" x14ac:dyDescent="0.35">
      <c r="B131" s="40">
        <v>20</v>
      </c>
      <c r="C131" s="38" t="s">
        <v>71</v>
      </c>
      <c r="D131" s="25">
        <v>1280.5</v>
      </c>
      <c r="E131" s="25">
        <v>0</v>
      </c>
      <c r="F131" s="47">
        <f t="shared" si="17"/>
        <v>1280.5</v>
      </c>
      <c r="G131" s="25">
        <f t="shared" si="18"/>
        <v>10797674.609999999</v>
      </c>
      <c r="H131" s="48">
        <f t="shared" si="15"/>
        <v>8.9842989689730306</v>
      </c>
      <c r="I131" s="25">
        <f>+I130+136549.02</f>
        <v>9907550.6399999987</v>
      </c>
      <c r="J131" s="21"/>
    </row>
    <row r="132" spans="2:11" x14ac:dyDescent="0.35">
      <c r="B132" s="40">
        <v>21</v>
      </c>
      <c r="C132" s="38" t="s">
        <v>72</v>
      </c>
      <c r="D132" s="25">
        <v>7056.75</v>
      </c>
      <c r="E132" s="25">
        <v>0</v>
      </c>
      <c r="F132" s="47">
        <f t="shared" si="17"/>
        <v>7056.75</v>
      </c>
      <c r="G132" s="25">
        <f t="shared" si="18"/>
        <v>10804731.359999999</v>
      </c>
      <c r="H132" s="48">
        <f t="shared" si="15"/>
        <v>8.7255200178847723</v>
      </c>
      <c r="I132" s="25">
        <f>+I131+30071.51</f>
        <v>9937622.1499999985</v>
      </c>
      <c r="J132" s="21"/>
    </row>
    <row r="133" spans="2:11" x14ac:dyDescent="0.35">
      <c r="B133" s="40">
        <v>22</v>
      </c>
      <c r="C133" s="38" t="s">
        <v>73</v>
      </c>
      <c r="D133" s="25">
        <v>117934.51</v>
      </c>
      <c r="E133" s="25">
        <v>0</v>
      </c>
      <c r="F133" s="47">
        <f t="shared" si="17"/>
        <v>117934.51</v>
      </c>
      <c r="G133" s="25">
        <f t="shared" si="18"/>
        <v>10922665.869999999</v>
      </c>
      <c r="H133" s="48">
        <f t="shared" si="15"/>
        <v>9.7179410790003313</v>
      </c>
      <c r="I133" s="25">
        <f>+I132+17601</f>
        <v>9955223.1499999985</v>
      </c>
      <c r="J133" s="21"/>
    </row>
    <row r="134" spans="2:11" x14ac:dyDescent="0.35">
      <c r="B134" s="40">
        <v>23</v>
      </c>
      <c r="C134" s="38" t="s">
        <v>80</v>
      </c>
      <c r="D134" s="25">
        <v>1033.99</v>
      </c>
      <c r="E134" s="25">
        <v>4968</v>
      </c>
      <c r="F134" s="47">
        <f t="shared" si="17"/>
        <v>6001.99</v>
      </c>
      <c r="G134" s="25">
        <f t="shared" si="18"/>
        <v>10928667.859999999</v>
      </c>
      <c r="H134" s="48">
        <f t="shared" si="15"/>
        <v>9.778230937997618</v>
      </c>
      <c r="I134" s="25">
        <f>+I133+0</f>
        <v>9955223.1499999985</v>
      </c>
      <c r="J134" s="21"/>
    </row>
    <row r="135" spans="2:11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17"/>
        <v>0</v>
      </c>
      <c r="G135" s="25">
        <f t="shared" si="18"/>
        <v>10928667.859999999</v>
      </c>
      <c r="H135" s="48">
        <f t="shared" si="15"/>
        <v>9.7510886855064012</v>
      </c>
      <c r="I135" s="25">
        <f>+I134+2462</f>
        <v>9957685.1499999985</v>
      </c>
      <c r="J135" s="21"/>
    </row>
    <row r="136" spans="2:11" x14ac:dyDescent="0.35">
      <c r="B136" s="40">
        <v>25</v>
      </c>
      <c r="C136" s="77" t="s">
        <v>82</v>
      </c>
      <c r="D136" s="25">
        <v>0</v>
      </c>
      <c r="E136" s="25">
        <v>0</v>
      </c>
      <c r="F136" s="47">
        <f t="shared" si="17"/>
        <v>0</v>
      </c>
      <c r="G136" s="25">
        <f t="shared" si="18"/>
        <v>10928667.859999999</v>
      </c>
      <c r="H136" s="48">
        <f t="shared" si="15"/>
        <v>9.7510886855064012</v>
      </c>
      <c r="I136" s="25">
        <f>+I135+0</f>
        <v>9957685.1499999985</v>
      </c>
      <c r="J136" s="21"/>
    </row>
    <row r="137" spans="2:11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17"/>
        <v>0</v>
      </c>
      <c r="G137" s="106">
        <f t="shared" si="18"/>
        <v>10928667.859999999</v>
      </c>
      <c r="H137" s="48">
        <f t="shared" si="15"/>
        <v>9.7510886855064012</v>
      </c>
      <c r="I137" s="25">
        <f>+I136+0</f>
        <v>9957685.1499999985</v>
      </c>
      <c r="J137" s="21"/>
      <c r="K137" s="1"/>
    </row>
    <row r="138" spans="2:11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17"/>
        <v>0</v>
      </c>
      <c r="G138" s="120">
        <f>+G137+F138</f>
        <v>10928667.859999999</v>
      </c>
      <c r="H138" s="48">
        <f t="shared" si="15"/>
        <v>9.7510886855064012</v>
      </c>
      <c r="I138" s="25">
        <f>+I137+0</f>
        <v>9957685.1499999985</v>
      </c>
      <c r="J138" s="21"/>
      <c r="K138" s="1"/>
    </row>
    <row r="139" spans="2:11" x14ac:dyDescent="0.35">
      <c r="B139" s="110">
        <v>28</v>
      </c>
      <c r="C139" s="77" t="s">
        <v>87</v>
      </c>
      <c r="D139" s="108">
        <v>0</v>
      </c>
      <c r="E139" s="108">
        <v>965245</v>
      </c>
      <c r="F139" s="109">
        <f t="shared" si="17"/>
        <v>965245</v>
      </c>
      <c r="G139" s="109">
        <f t="shared" ref="G139" si="19">+G138+F139</f>
        <v>11893912.859999999</v>
      </c>
      <c r="H139" s="44">
        <f t="shared" si="15"/>
        <v>19.47243479173807</v>
      </c>
      <c r="I139" s="20">
        <f>+I138-2323.58</f>
        <v>9955361.5699999984</v>
      </c>
      <c r="J139" s="21"/>
      <c r="K139" s="1"/>
    </row>
    <row r="140" spans="2:11" hidden="1" x14ac:dyDescent="0.35">
      <c r="B140" s="40">
        <v>29</v>
      </c>
      <c r="C140" s="17" t="s">
        <v>32</v>
      </c>
      <c r="D140" s="25"/>
      <c r="E140" s="25"/>
      <c r="F140" s="47">
        <f t="shared" ref="F140:F149" si="20">+E140+D140</f>
        <v>0</v>
      </c>
      <c r="G140" s="25">
        <f t="shared" ref="G140:G141" si="21">+G139+F140</f>
        <v>11893912.859999999</v>
      </c>
      <c r="H140" s="48">
        <v>0</v>
      </c>
      <c r="I140" s="25">
        <v>0</v>
      </c>
      <c r="J140" s="21"/>
      <c r="K140" s="1"/>
    </row>
    <row r="141" spans="2:11" hidden="1" x14ac:dyDescent="0.35">
      <c r="B141" s="40">
        <v>30</v>
      </c>
      <c r="C141" s="27" t="s">
        <v>33</v>
      </c>
      <c r="D141" s="31"/>
      <c r="E141" s="31"/>
      <c r="F141" s="55">
        <f t="shared" si="20"/>
        <v>0</v>
      </c>
      <c r="G141" s="31">
        <f t="shared" si="21"/>
        <v>11893912.859999999</v>
      </c>
      <c r="H141" s="56">
        <v>0</v>
      </c>
      <c r="I141" s="31">
        <v>0</v>
      </c>
      <c r="J141" s="21"/>
      <c r="K141" s="1"/>
    </row>
    <row r="142" spans="2:11" hidden="1" x14ac:dyDescent="0.35">
      <c r="B142" s="40">
        <v>31</v>
      </c>
      <c r="C142" s="16" t="s">
        <v>31</v>
      </c>
      <c r="D142" s="25"/>
      <c r="E142" s="25"/>
      <c r="F142" s="47">
        <f t="shared" si="20"/>
        <v>0</v>
      </c>
      <c r="G142" s="25">
        <f>+G134+F142</f>
        <v>10928667.859999999</v>
      </c>
      <c r="H142" s="48">
        <v>0</v>
      </c>
      <c r="I142" s="25">
        <v>0</v>
      </c>
      <c r="J142" s="21"/>
      <c r="K142" s="1"/>
    </row>
    <row r="143" spans="2:11" hidden="1" x14ac:dyDescent="0.35">
      <c r="B143" s="40">
        <v>32</v>
      </c>
      <c r="C143" s="17" t="s">
        <v>32</v>
      </c>
      <c r="D143" s="25"/>
      <c r="E143" s="25"/>
      <c r="F143" s="47">
        <f t="shared" si="20"/>
        <v>0</v>
      </c>
      <c r="G143" s="25">
        <f t="shared" ref="G143:G149" si="22">+G142+F143</f>
        <v>10928667.859999999</v>
      </c>
      <c r="H143" s="48">
        <v>0</v>
      </c>
      <c r="I143" s="25">
        <v>0</v>
      </c>
      <c r="J143" s="21"/>
      <c r="K143" s="1"/>
    </row>
    <row r="144" spans="2:11" hidden="1" x14ac:dyDescent="0.35">
      <c r="B144" s="40">
        <v>33</v>
      </c>
      <c r="C144" s="16" t="s">
        <v>27</v>
      </c>
      <c r="D144" s="25"/>
      <c r="E144" s="25"/>
      <c r="F144" s="47">
        <f t="shared" si="20"/>
        <v>0</v>
      </c>
      <c r="G144" s="25">
        <f t="shared" si="22"/>
        <v>10928667.859999999</v>
      </c>
      <c r="H144" s="48">
        <v>0</v>
      </c>
      <c r="I144" s="25">
        <v>0</v>
      </c>
      <c r="J144" s="21"/>
      <c r="K144" s="1"/>
    </row>
    <row r="145" spans="2:11" hidden="1" x14ac:dyDescent="0.35">
      <c r="B145" s="40">
        <v>34</v>
      </c>
      <c r="C145" s="16" t="s">
        <v>28</v>
      </c>
      <c r="D145" s="25"/>
      <c r="E145" s="25"/>
      <c r="F145" s="47">
        <f t="shared" si="20"/>
        <v>0</v>
      </c>
      <c r="G145" s="25">
        <f t="shared" si="22"/>
        <v>10928667.859999999</v>
      </c>
      <c r="H145" s="48">
        <v>0</v>
      </c>
      <c r="I145" s="25">
        <v>0</v>
      </c>
      <c r="J145" s="21"/>
      <c r="K145" s="1"/>
    </row>
    <row r="146" spans="2:11" hidden="1" x14ac:dyDescent="0.35">
      <c r="B146" s="40">
        <v>35</v>
      </c>
      <c r="C146" s="16" t="s">
        <v>29</v>
      </c>
      <c r="D146" s="25"/>
      <c r="E146" s="25"/>
      <c r="F146" s="47">
        <f t="shared" si="20"/>
        <v>0</v>
      </c>
      <c r="G146" s="25">
        <f t="shared" si="22"/>
        <v>10928667.859999999</v>
      </c>
      <c r="H146" s="48">
        <v>0</v>
      </c>
      <c r="I146" s="25">
        <v>0</v>
      </c>
      <c r="J146" s="21"/>
      <c r="K146" s="1"/>
    </row>
    <row r="147" spans="2:11" hidden="1" x14ac:dyDescent="0.35">
      <c r="B147" s="40">
        <v>36</v>
      </c>
      <c r="C147" s="16" t="s">
        <v>30</v>
      </c>
      <c r="D147" s="25"/>
      <c r="E147" s="25"/>
      <c r="F147" s="47">
        <f t="shared" si="20"/>
        <v>0</v>
      </c>
      <c r="G147" s="25">
        <f t="shared" si="22"/>
        <v>10928667.859999999</v>
      </c>
      <c r="H147" s="48">
        <v>0</v>
      </c>
      <c r="I147" s="25">
        <v>0</v>
      </c>
      <c r="J147" s="21"/>
      <c r="K147" s="1"/>
    </row>
    <row r="148" spans="2:11" hidden="1" x14ac:dyDescent="0.35">
      <c r="B148" s="40">
        <v>37</v>
      </c>
      <c r="C148" s="16" t="s">
        <v>31</v>
      </c>
      <c r="D148" s="25"/>
      <c r="E148" s="25"/>
      <c r="F148" s="47">
        <f t="shared" si="20"/>
        <v>0</v>
      </c>
      <c r="G148" s="25">
        <f t="shared" si="22"/>
        <v>10928667.859999999</v>
      </c>
      <c r="H148" s="48">
        <v>0</v>
      </c>
      <c r="I148" s="25">
        <v>0</v>
      </c>
      <c r="J148" s="21"/>
      <c r="K148" s="1"/>
    </row>
    <row r="149" spans="2:11" hidden="1" x14ac:dyDescent="0.35">
      <c r="B149" s="40">
        <v>38</v>
      </c>
      <c r="C149" s="17" t="s">
        <v>32</v>
      </c>
      <c r="D149" s="25"/>
      <c r="E149" s="25"/>
      <c r="F149" s="47">
        <f t="shared" si="20"/>
        <v>0</v>
      </c>
      <c r="G149" s="25">
        <f t="shared" si="22"/>
        <v>10928667.859999999</v>
      </c>
      <c r="H149" s="48">
        <v>0</v>
      </c>
      <c r="I149" s="25">
        <v>0</v>
      </c>
      <c r="J149" s="21"/>
      <c r="K149" s="1"/>
    </row>
    <row r="150" spans="2:11" hidden="1" x14ac:dyDescent="0.35">
      <c r="B150" s="40">
        <v>39</v>
      </c>
      <c r="C150" s="103"/>
      <c r="D150" s="91"/>
      <c r="E150" s="91"/>
      <c r="F150" s="92"/>
      <c r="G150" s="91"/>
      <c r="H150" s="104"/>
      <c r="I150" s="91"/>
      <c r="J150" s="21"/>
      <c r="K150" s="1"/>
    </row>
    <row r="151" spans="2:11" hidden="1" x14ac:dyDescent="0.35">
      <c r="B151" s="40">
        <v>40</v>
      </c>
      <c r="C151" s="103"/>
      <c r="D151" s="91"/>
      <c r="E151" s="91"/>
      <c r="F151" s="92"/>
      <c r="G151" s="91"/>
      <c r="H151" s="104"/>
      <c r="I151" s="91"/>
      <c r="J151" s="21"/>
      <c r="K151" s="1"/>
    </row>
    <row r="152" spans="2:11" hidden="1" x14ac:dyDescent="0.35">
      <c r="B152" s="40">
        <v>41</v>
      </c>
      <c r="C152" s="27" t="s">
        <v>33</v>
      </c>
      <c r="D152" s="31"/>
      <c r="E152" s="31"/>
      <c r="F152" s="55">
        <f t="shared" ref="F152:F153" si="23">+E152+D152</f>
        <v>0</v>
      </c>
      <c r="G152" s="31">
        <f>+G149+F152</f>
        <v>10928667.859999999</v>
      </c>
      <c r="H152" s="56">
        <v>0</v>
      </c>
      <c r="I152" s="31">
        <v>0</v>
      </c>
      <c r="J152" s="21"/>
      <c r="K152" s="1"/>
    </row>
    <row r="153" spans="2:11" hidden="1" x14ac:dyDescent="0.35">
      <c r="B153" s="40">
        <v>42</v>
      </c>
      <c r="C153" s="27" t="s">
        <v>33</v>
      </c>
      <c r="D153" s="31"/>
      <c r="E153" s="31"/>
      <c r="F153" s="55">
        <f t="shared" si="23"/>
        <v>0</v>
      </c>
      <c r="G153" s="31">
        <f>+G143+F153</f>
        <v>10928667.859999999</v>
      </c>
      <c r="H153" s="56">
        <v>0</v>
      </c>
      <c r="I153" s="31">
        <v>0</v>
      </c>
      <c r="J153" s="21"/>
      <c r="K153" s="1"/>
    </row>
    <row r="154" spans="2:11" x14ac:dyDescent="0.35">
      <c r="B154" s="5"/>
      <c r="C154" s="5"/>
      <c r="D154" s="6"/>
      <c r="E154" s="6"/>
      <c r="F154" s="6"/>
      <c r="G154" s="6"/>
      <c r="H154" s="6"/>
      <c r="I154" s="6"/>
      <c r="J154" s="5"/>
    </row>
    <row r="155" spans="2:11" x14ac:dyDescent="0.35">
      <c r="B155" s="8" t="s">
        <v>34</v>
      </c>
      <c r="C155" s="5"/>
      <c r="D155" s="6"/>
      <c r="E155" s="6"/>
      <c r="F155" s="6"/>
      <c r="G155" s="6"/>
      <c r="H155" s="6"/>
      <c r="I155" s="6"/>
      <c r="J155" s="5"/>
    </row>
    <row r="156" spans="2:11" x14ac:dyDescent="0.35">
      <c r="B156" s="9" t="s">
        <v>35</v>
      </c>
      <c r="C156" s="5"/>
      <c r="D156" s="6"/>
      <c r="E156" s="6"/>
      <c r="F156" s="6"/>
      <c r="G156" s="6"/>
      <c r="H156" s="6"/>
      <c r="I156" s="6"/>
      <c r="J156" s="5"/>
    </row>
    <row r="157" spans="2:11" x14ac:dyDescent="0.35">
      <c r="B157" s="9" t="s">
        <v>36</v>
      </c>
      <c r="C157" s="5"/>
      <c r="D157" s="6"/>
      <c r="E157" s="6"/>
      <c r="F157" s="6"/>
      <c r="G157" s="6"/>
      <c r="H157" s="6"/>
      <c r="I157" s="6"/>
      <c r="J157" s="5"/>
    </row>
    <row r="158" spans="2:11" x14ac:dyDescent="0.35">
      <c r="B158" s="9" t="s">
        <v>37</v>
      </c>
      <c r="C158" s="5"/>
      <c r="D158" s="6"/>
      <c r="E158" s="6"/>
      <c r="F158" s="6"/>
      <c r="G158" s="6"/>
      <c r="H158" s="6"/>
      <c r="I158" s="6"/>
      <c r="J158" s="5"/>
    </row>
    <row r="161" spans="2:10" ht="18.5" x14ac:dyDescent="0.45">
      <c r="B161" s="10"/>
      <c r="C161" s="10"/>
      <c r="D161" s="140" t="s">
        <v>41</v>
      </c>
      <c r="E161" s="140"/>
      <c r="F161" s="140"/>
      <c r="G161" s="140"/>
      <c r="H161" s="140"/>
      <c r="I161" s="140"/>
      <c r="J161" s="10"/>
    </row>
    <row r="162" spans="2:10" s="35" customFormat="1" ht="16" x14ac:dyDescent="0.4">
      <c r="B162" s="26"/>
      <c r="C162" s="26"/>
      <c r="D162" s="158" t="s">
        <v>42</v>
      </c>
      <c r="E162" s="158"/>
      <c r="F162" s="158"/>
      <c r="G162" s="158"/>
      <c r="H162" s="158"/>
      <c r="I162" s="158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42" t="s">
        <v>6</v>
      </c>
      <c r="E164" s="143"/>
      <c r="F164" s="143"/>
      <c r="G164" s="144"/>
      <c r="H164" s="129" t="s">
        <v>7</v>
      </c>
      <c r="I164" s="130"/>
      <c r="J164" s="4"/>
    </row>
    <row r="165" spans="2:10" x14ac:dyDescent="0.35">
      <c r="B165" s="12"/>
      <c r="C165" s="13"/>
      <c r="D165" s="145" t="s">
        <v>9</v>
      </c>
      <c r="E165" s="146"/>
      <c r="F165" s="146"/>
      <c r="G165" s="147"/>
      <c r="H165" s="131"/>
      <c r="I165" s="132"/>
      <c r="J165" s="4"/>
    </row>
    <row r="166" spans="2:10" ht="14.4" customHeight="1" x14ac:dyDescent="0.35">
      <c r="B166" s="133" t="s">
        <v>10</v>
      </c>
      <c r="C166" s="135" t="s">
        <v>11</v>
      </c>
      <c r="D166" s="51" t="s">
        <v>12</v>
      </c>
      <c r="E166" s="51" t="s">
        <v>13</v>
      </c>
      <c r="F166" s="51" t="s">
        <v>14</v>
      </c>
      <c r="G166" s="51" t="s">
        <v>15</v>
      </c>
      <c r="H166" s="124" t="s">
        <v>16</v>
      </c>
      <c r="I166" s="126" t="s">
        <v>17</v>
      </c>
      <c r="J166" s="19"/>
    </row>
    <row r="167" spans="2:10" ht="37.4" customHeight="1" x14ac:dyDescent="0.35">
      <c r="B167" s="134"/>
      <c r="C167" s="136"/>
      <c r="D167" s="154" t="s">
        <v>20</v>
      </c>
      <c r="E167" s="155"/>
      <c r="F167" s="155"/>
      <c r="G167" s="156"/>
      <c r="H167" s="125"/>
      <c r="I167" s="127"/>
      <c r="J167" s="19"/>
    </row>
    <row r="168" spans="2:10" x14ac:dyDescent="0.35">
      <c r="B168" s="40">
        <v>4</v>
      </c>
      <c r="C168" s="38" t="s">
        <v>21</v>
      </c>
      <c r="D168" s="20">
        <v>89849</v>
      </c>
      <c r="E168" s="20">
        <v>0</v>
      </c>
      <c r="F168" s="43">
        <f>+D168+E168</f>
        <v>89849</v>
      </c>
      <c r="G168" s="20">
        <f>+F168</f>
        <v>89849</v>
      </c>
      <c r="H168" s="44" t="e">
        <f t="shared" ref="H168:H192" si="24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59869.54</v>
      </c>
      <c r="E169" s="25">
        <v>0</v>
      </c>
      <c r="F169" s="47">
        <f>+E169+D169</f>
        <v>59869.54</v>
      </c>
      <c r="G169" s="25">
        <f>+G168+F169</f>
        <v>149718.54</v>
      </c>
      <c r="H169" s="48">
        <f t="shared" si="24"/>
        <v>-40.756140566013876</v>
      </c>
      <c r="I169" s="25">
        <v>252715.71</v>
      </c>
      <c r="J169" s="21"/>
    </row>
    <row r="170" spans="2:10" x14ac:dyDescent="0.35">
      <c r="B170" s="40">
        <v>6</v>
      </c>
      <c r="C170" s="38" t="s">
        <v>23</v>
      </c>
      <c r="D170" s="25">
        <v>93676.6</v>
      </c>
      <c r="E170" s="25">
        <v>0</v>
      </c>
      <c r="F170" s="47">
        <f>+E170+D170</f>
        <v>93676.6</v>
      </c>
      <c r="G170" s="25">
        <f t="shared" ref="G170" si="25">+G169+F170</f>
        <v>243395.14</v>
      </c>
      <c r="H170" s="48">
        <f t="shared" si="24"/>
        <v>-32.814500388822445</v>
      </c>
      <c r="I170" s="25">
        <f>+I169+109557.61</f>
        <v>362273.32</v>
      </c>
      <c r="J170" s="21"/>
    </row>
    <row r="171" spans="2:10" x14ac:dyDescent="0.35">
      <c r="B171" s="40">
        <v>7</v>
      </c>
      <c r="C171" s="38" t="s">
        <v>24</v>
      </c>
      <c r="D171" s="25">
        <v>24532.03</v>
      </c>
      <c r="E171" s="25">
        <v>0</v>
      </c>
      <c r="F171" s="47">
        <f t="shared" ref="F171:F192" si="26">+E171+D171</f>
        <v>24532.03</v>
      </c>
      <c r="G171" s="25">
        <f>+G170+F171</f>
        <v>267927.17000000004</v>
      </c>
      <c r="H171" s="48">
        <f t="shared" si="24"/>
        <v>-39.581112485989365</v>
      </c>
      <c r="I171" s="25">
        <f>+I170+81176.04</f>
        <v>443449.36</v>
      </c>
      <c r="J171" s="21"/>
    </row>
    <row r="172" spans="2:10" x14ac:dyDescent="0.35">
      <c r="B172" s="40">
        <v>8</v>
      </c>
      <c r="C172" s="38" t="s">
        <v>25</v>
      </c>
      <c r="D172" s="25">
        <v>85676.17</v>
      </c>
      <c r="E172" s="25">
        <v>0</v>
      </c>
      <c r="F172" s="47">
        <f t="shared" si="26"/>
        <v>85676.17</v>
      </c>
      <c r="G172" s="25">
        <f t="shared" ref="G172:G192" si="27">+G171+F172</f>
        <v>353603.34</v>
      </c>
      <c r="H172" s="48">
        <f t="shared" si="24"/>
        <v>-24.692405136806901</v>
      </c>
      <c r="I172" s="25">
        <v>469545.39</v>
      </c>
      <c r="J172" s="21"/>
    </row>
    <row r="173" spans="2:10" x14ac:dyDescent="0.35">
      <c r="B173" s="40">
        <v>9</v>
      </c>
      <c r="C173" s="38" t="s">
        <v>26</v>
      </c>
      <c r="D173" s="25">
        <v>96785.02</v>
      </c>
      <c r="E173" s="25">
        <v>0</v>
      </c>
      <c r="F173" s="47">
        <f t="shared" si="26"/>
        <v>96785.02</v>
      </c>
      <c r="G173" s="25">
        <f t="shared" si="27"/>
        <v>450388.36000000004</v>
      </c>
      <c r="H173" s="48">
        <f t="shared" si="24"/>
        <v>-22.177898802182543</v>
      </c>
      <c r="I173" s="25">
        <f>+I172+109195.55</f>
        <v>578740.94000000006</v>
      </c>
      <c r="J173" s="21"/>
    </row>
    <row r="174" spans="2:10" x14ac:dyDescent="0.35">
      <c r="B174" s="40">
        <v>10</v>
      </c>
      <c r="C174" s="38" t="s">
        <v>62</v>
      </c>
      <c r="D174" s="25">
        <v>24952.55</v>
      </c>
      <c r="E174" s="25">
        <v>0</v>
      </c>
      <c r="F174" s="47">
        <f t="shared" si="26"/>
        <v>24952.55</v>
      </c>
      <c r="G174" s="25">
        <f t="shared" si="27"/>
        <v>475340.91000000003</v>
      </c>
      <c r="H174" s="48">
        <f t="shared" si="24"/>
        <v>-24.232942498438092</v>
      </c>
      <c r="I174" s="25">
        <f>+I173+48630.54</f>
        <v>627371.4800000001</v>
      </c>
      <c r="J174" s="21"/>
    </row>
    <row r="175" spans="2:10" x14ac:dyDescent="0.35">
      <c r="B175" s="40">
        <v>11</v>
      </c>
      <c r="C175" s="38" t="s">
        <v>63</v>
      </c>
      <c r="D175" s="25">
        <v>46737.04</v>
      </c>
      <c r="E175" s="25">
        <v>0</v>
      </c>
      <c r="F175" s="47">
        <f t="shared" si="26"/>
        <v>46737.04</v>
      </c>
      <c r="G175" s="25">
        <f t="shared" si="27"/>
        <v>522077.95</v>
      </c>
      <c r="H175" s="48">
        <f t="shared" si="24"/>
        <v>-17.058467178914629</v>
      </c>
      <c r="I175" s="25">
        <f>+I174+2081.5</f>
        <v>629452.9800000001</v>
      </c>
      <c r="J175" s="21"/>
    </row>
    <row r="176" spans="2:10" x14ac:dyDescent="0.35">
      <c r="B176" s="40">
        <v>12</v>
      </c>
      <c r="C176" s="38" t="s">
        <v>78</v>
      </c>
      <c r="D176" s="25">
        <v>16644.5</v>
      </c>
      <c r="E176" s="25">
        <v>0</v>
      </c>
      <c r="F176" s="47">
        <f t="shared" si="26"/>
        <v>16644.5</v>
      </c>
      <c r="G176" s="25">
        <f t="shared" si="27"/>
        <v>538722.44999999995</v>
      </c>
      <c r="H176" s="48">
        <f t="shared" si="24"/>
        <v>-20.479195983851611</v>
      </c>
      <c r="I176" s="25">
        <f>+I175+48008.04</f>
        <v>677461.02000000014</v>
      </c>
      <c r="J176" s="21"/>
    </row>
    <row r="177" spans="2:11" x14ac:dyDescent="0.35">
      <c r="B177" s="40">
        <v>13</v>
      </c>
      <c r="C177" s="38" t="s">
        <v>64</v>
      </c>
      <c r="D177" s="25">
        <v>8598.4500000000007</v>
      </c>
      <c r="E177" s="25">
        <v>0</v>
      </c>
      <c r="F177" s="47">
        <f t="shared" si="26"/>
        <v>8598.4500000000007</v>
      </c>
      <c r="G177" s="25">
        <f t="shared" si="27"/>
        <v>547320.89999999991</v>
      </c>
      <c r="H177" s="48">
        <f t="shared" si="24"/>
        <v>-19.209979047945829</v>
      </c>
      <c r="I177" s="25">
        <v>677461.02</v>
      </c>
      <c r="J177" s="21"/>
    </row>
    <row r="178" spans="2:11" x14ac:dyDescent="0.35">
      <c r="B178" s="40">
        <v>14</v>
      </c>
      <c r="C178" s="58" t="s">
        <v>65</v>
      </c>
      <c r="D178" s="25">
        <v>18801.509999999998</v>
      </c>
      <c r="E178" s="25">
        <v>0</v>
      </c>
      <c r="F178" s="47">
        <f t="shared" si="26"/>
        <v>18801.509999999998</v>
      </c>
      <c r="G178" s="25">
        <f t="shared" si="27"/>
        <v>566122.40999999992</v>
      </c>
      <c r="H178" s="48">
        <f t="shared" si="24"/>
        <v>-16.434688744158311</v>
      </c>
      <c r="I178" s="25">
        <f>+I177+0</f>
        <v>677461.02</v>
      </c>
      <c r="J178" s="21"/>
    </row>
    <row r="179" spans="2:11" x14ac:dyDescent="0.35">
      <c r="B179" s="40">
        <v>15</v>
      </c>
      <c r="C179" s="38" t="s">
        <v>66</v>
      </c>
      <c r="D179" s="25">
        <v>3155.09</v>
      </c>
      <c r="E179" s="25">
        <v>0</v>
      </c>
      <c r="F179" s="47">
        <f t="shared" si="26"/>
        <v>3155.09</v>
      </c>
      <c r="G179" s="25">
        <f t="shared" si="27"/>
        <v>569277.49999999988</v>
      </c>
      <c r="H179" s="48">
        <f t="shared" si="24"/>
        <v>-15.968966007815494</v>
      </c>
      <c r="I179" s="25">
        <f>+I178+0</f>
        <v>677461.02</v>
      </c>
      <c r="J179" s="21"/>
    </row>
    <row r="180" spans="2:11" x14ac:dyDescent="0.35">
      <c r="B180" s="40">
        <v>16</v>
      </c>
      <c r="C180" s="38" t="s">
        <v>67</v>
      </c>
      <c r="D180" s="25">
        <v>4399</v>
      </c>
      <c r="E180" s="25">
        <v>0</v>
      </c>
      <c r="F180" s="47">
        <f t="shared" si="26"/>
        <v>4399</v>
      </c>
      <c r="G180" s="25">
        <f t="shared" si="27"/>
        <v>573676.49999999988</v>
      </c>
      <c r="H180" s="48">
        <f t="shared" si="24"/>
        <v>-16.251181593576852</v>
      </c>
      <c r="I180" s="25">
        <v>684996.53</v>
      </c>
      <c r="J180" s="21"/>
    </row>
    <row r="181" spans="2:11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26"/>
        <v>0</v>
      </c>
      <c r="G181" s="25">
        <f t="shared" si="27"/>
        <v>573676.49999999988</v>
      </c>
      <c r="H181" s="48">
        <f t="shared" si="24"/>
        <v>-17.781475334492782</v>
      </c>
      <c r="I181" s="25">
        <f>+I180+12749.51</f>
        <v>697746.04</v>
      </c>
      <c r="J181" s="21"/>
    </row>
    <row r="182" spans="2:11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26"/>
        <v>0</v>
      </c>
      <c r="G182" s="25">
        <f t="shared" si="27"/>
        <v>573676.49999999988</v>
      </c>
      <c r="H182" s="48">
        <f t="shared" si="24"/>
        <v>-17.781475334492782</v>
      </c>
      <c r="I182" s="25">
        <f>+I181+0</f>
        <v>697746.04</v>
      </c>
      <c r="J182" s="21"/>
    </row>
    <row r="183" spans="2:11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26"/>
        <v>0</v>
      </c>
      <c r="G183" s="25">
        <f t="shared" si="27"/>
        <v>573676.49999999988</v>
      </c>
      <c r="H183" s="48">
        <f t="shared" si="24"/>
        <v>-19.906338094682649</v>
      </c>
      <c r="I183" s="25">
        <f>+I182+18511.01</f>
        <v>716257.05</v>
      </c>
      <c r="J183" s="21"/>
    </row>
    <row r="184" spans="2:11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26"/>
        <v>0</v>
      </c>
      <c r="G184" s="25">
        <f t="shared" si="27"/>
        <v>573676.49999999988</v>
      </c>
      <c r="H184" s="48">
        <f t="shared" si="24"/>
        <v>-19.981300773487682</v>
      </c>
      <c r="I184" s="25">
        <f>+I183+671</f>
        <v>716928.05</v>
      </c>
      <c r="J184" s="21"/>
    </row>
    <row r="185" spans="2:11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26"/>
        <v>0</v>
      </c>
      <c r="G185" s="25">
        <f t="shared" si="27"/>
        <v>573676.49999999988</v>
      </c>
      <c r="H185" s="48">
        <f t="shared" si="24"/>
        <v>-22.558516038893629</v>
      </c>
      <c r="I185" s="25">
        <f>+I184+23859.02</f>
        <v>740787.07000000007</v>
      </c>
      <c r="J185" s="21"/>
      <c r="K185" s="1"/>
    </row>
    <row r="186" spans="2:11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26"/>
        <v>0</v>
      </c>
      <c r="G186" s="25">
        <f t="shared" si="27"/>
        <v>573676.49999999988</v>
      </c>
      <c r="H186" s="48">
        <f t="shared" si="24"/>
        <v>-22.558516038893629</v>
      </c>
      <c r="I186" s="25">
        <f t="shared" ref="I186:I191" si="28">+I185+0</f>
        <v>740787.07000000007</v>
      </c>
      <c r="J186" s="21"/>
      <c r="K186" s="1"/>
    </row>
    <row r="187" spans="2:11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26"/>
        <v>0</v>
      </c>
      <c r="G187" s="25">
        <f t="shared" si="27"/>
        <v>573676.49999999988</v>
      </c>
      <c r="H187" s="48">
        <f t="shared" si="24"/>
        <v>-22.558516038893629</v>
      </c>
      <c r="I187" s="25">
        <f t="shared" si="28"/>
        <v>740787.07000000007</v>
      </c>
      <c r="J187" s="21"/>
      <c r="K187" s="1"/>
    </row>
    <row r="188" spans="2:11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26"/>
        <v>0</v>
      </c>
      <c r="G188" s="25">
        <f t="shared" si="27"/>
        <v>573676.49999999988</v>
      </c>
      <c r="H188" s="48">
        <f t="shared" si="24"/>
        <v>-22.558516038893629</v>
      </c>
      <c r="I188" s="25">
        <f t="shared" si="28"/>
        <v>740787.07000000007</v>
      </c>
      <c r="J188" s="21"/>
      <c r="K188" s="1"/>
    </row>
    <row r="189" spans="2:11" x14ac:dyDescent="0.35">
      <c r="B189" s="40">
        <v>25</v>
      </c>
      <c r="C189" s="77" t="s">
        <v>82</v>
      </c>
      <c r="D189" s="25">
        <v>0</v>
      </c>
      <c r="E189" s="25">
        <v>0</v>
      </c>
      <c r="F189" s="47">
        <f t="shared" si="26"/>
        <v>0</v>
      </c>
      <c r="G189" s="25">
        <f t="shared" si="27"/>
        <v>573676.49999999988</v>
      </c>
      <c r="H189" s="48">
        <f t="shared" si="24"/>
        <v>-22.558516038893629</v>
      </c>
      <c r="I189" s="25">
        <f t="shared" si="28"/>
        <v>740787.07000000007</v>
      </c>
      <c r="J189" s="21"/>
      <c r="K189" s="1"/>
    </row>
    <row r="190" spans="2:11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26"/>
        <v>0</v>
      </c>
      <c r="G190" s="106">
        <f t="shared" si="27"/>
        <v>573676.49999999988</v>
      </c>
      <c r="H190" s="48">
        <f t="shared" si="24"/>
        <v>-22.558516038893629</v>
      </c>
      <c r="I190" s="25">
        <f t="shared" si="28"/>
        <v>740787.07000000007</v>
      </c>
      <c r="J190" s="21"/>
      <c r="K190" s="1"/>
    </row>
    <row r="191" spans="2:11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26"/>
        <v>0</v>
      </c>
      <c r="G191" s="120">
        <f t="shared" si="27"/>
        <v>573676.49999999988</v>
      </c>
      <c r="H191" s="48">
        <f t="shared" si="24"/>
        <v>-22.558516038893629</v>
      </c>
      <c r="I191" s="25">
        <f t="shared" si="28"/>
        <v>740787.07000000007</v>
      </c>
      <c r="J191" s="21"/>
      <c r="K191" s="1"/>
    </row>
    <row r="192" spans="2:11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26"/>
        <v>0</v>
      </c>
      <c r="G192" s="109">
        <f t="shared" si="27"/>
        <v>573676.49999999988</v>
      </c>
      <c r="H192" s="44">
        <f t="shared" si="24"/>
        <v>-22.314845924204079</v>
      </c>
      <c r="I192" s="20">
        <f>+I191-2323.58</f>
        <v>738463.49000000011</v>
      </c>
      <c r="J192" s="21"/>
      <c r="K192" s="1"/>
    </row>
    <row r="193" spans="2:11" hidden="1" x14ac:dyDescent="0.35">
      <c r="B193" s="40">
        <v>29</v>
      </c>
      <c r="C193" s="16" t="s">
        <v>28</v>
      </c>
      <c r="D193" s="25"/>
      <c r="E193" s="25"/>
      <c r="F193" s="47">
        <f t="shared" ref="F193:F205" si="29">+E193+D193</f>
        <v>0</v>
      </c>
      <c r="G193" s="25">
        <f t="shared" ref="G193:G197" si="30">+G192+F193</f>
        <v>573676.49999999988</v>
      </c>
      <c r="H193" s="48">
        <v>0</v>
      </c>
      <c r="I193" s="25">
        <v>0</v>
      </c>
      <c r="J193" s="21"/>
      <c r="K193" s="1"/>
    </row>
    <row r="194" spans="2:11" hidden="1" x14ac:dyDescent="0.35">
      <c r="B194" s="40">
        <v>30</v>
      </c>
      <c r="C194" s="16" t="s">
        <v>29</v>
      </c>
      <c r="D194" s="25"/>
      <c r="E194" s="25"/>
      <c r="F194" s="47">
        <f t="shared" si="29"/>
        <v>0</v>
      </c>
      <c r="G194" s="25">
        <f t="shared" si="30"/>
        <v>573676.49999999988</v>
      </c>
      <c r="H194" s="48">
        <v>0</v>
      </c>
      <c r="I194" s="25">
        <v>0</v>
      </c>
      <c r="J194" s="21"/>
      <c r="K194" s="1"/>
    </row>
    <row r="195" spans="2:11" hidden="1" x14ac:dyDescent="0.35">
      <c r="B195" s="40">
        <v>31</v>
      </c>
      <c r="C195" s="16" t="s">
        <v>30</v>
      </c>
      <c r="D195" s="25"/>
      <c r="E195" s="25"/>
      <c r="F195" s="47">
        <f t="shared" si="29"/>
        <v>0</v>
      </c>
      <c r="G195" s="25">
        <f t="shared" si="30"/>
        <v>573676.49999999988</v>
      </c>
      <c r="H195" s="48">
        <v>0</v>
      </c>
      <c r="I195" s="25">
        <v>0</v>
      </c>
      <c r="J195" s="21"/>
      <c r="K195" s="1"/>
    </row>
    <row r="196" spans="2:11" hidden="1" x14ac:dyDescent="0.35">
      <c r="B196" s="40">
        <v>32</v>
      </c>
      <c r="C196" s="16" t="s">
        <v>31</v>
      </c>
      <c r="D196" s="25"/>
      <c r="E196" s="25"/>
      <c r="F196" s="47">
        <f t="shared" si="29"/>
        <v>0</v>
      </c>
      <c r="G196" s="25">
        <f t="shared" si="30"/>
        <v>573676.49999999988</v>
      </c>
      <c r="H196" s="48">
        <v>0</v>
      </c>
      <c r="I196" s="25">
        <v>0</v>
      </c>
      <c r="J196" s="21"/>
      <c r="K196" s="1"/>
    </row>
    <row r="197" spans="2:11" hidden="1" x14ac:dyDescent="0.35">
      <c r="B197" s="40">
        <v>33</v>
      </c>
      <c r="C197" s="17" t="s">
        <v>32</v>
      </c>
      <c r="D197" s="25"/>
      <c r="E197" s="25"/>
      <c r="F197" s="47">
        <f t="shared" si="29"/>
        <v>0</v>
      </c>
      <c r="G197" s="25">
        <f t="shared" si="30"/>
        <v>573676.49999999988</v>
      </c>
      <c r="H197" s="48">
        <v>0</v>
      </c>
      <c r="I197" s="25">
        <v>0</v>
      </c>
      <c r="J197" s="21"/>
      <c r="K197" s="1"/>
    </row>
    <row r="198" spans="2:11" hidden="1" x14ac:dyDescent="0.35">
      <c r="B198" s="40">
        <v>34</v>
      </c>
      <c r="C198" s="103"/>
      <c r="D198" s="91"/>
      <c r="E198" s="91"/>
      <c r="F198" s="92"/>
      <c r="G198" s="91"/>
      <c r="H198" s="104"/>
      <c r="I198" s="91"/>
      <c r="J198" s="21"/>
      <c r="K198" s="1"/>
    </row>
    <row r="199" spans="2:11" hidden="1" x14ac:dyDescent="0.35">
      <c r="B199" s="40">
        <v>35</v>
      </c>
      <c r="C199" s="103"/>
      <c r="D199" s="91"/>
      <c r="E199" s="91"/>
      <c r="F199" s="92"/>
      <c r="G199" s="91"/>
      <c r="H199" s="104"/>
      <c r="I199" s="91"/>
      <c r="J199" s="21"/>
      <c r="K199" s="1"/>
    </row>
    <row r="200" spans="2:11" hidden="1" x14ac:dyDescent="0.35">
      <c r="B200" s="40">
        <v>36</v>
      </c>
      <c r="C200" s="27" t="s">
        <v>33</v>
      </c>
      <c r="D200" s="31"/>
      <c r="E200" s="31"/>
      <c r="F200" s="55">
        <f t="shared" ref="F200:F201" si="31">+E200+D200</f>
        <v>0</v>
      </c>
      <c r="G200" s="31">
        <f>+G197+F200</f>
        <v>573676.49999999988</v>
      </c>
      <c r="H200" s="56">
        <v>0</v>
      </c>
      <c r="I200" s="31">
        <v>0</v>
      </c>
      <c r="J200" s="21"/>
      <c r="K200" s="1"/>
    </row>
    <row r="201" spans="2:11" hidden="1" x14ac:dyDescent="0.35">
      <c r="B201" s="40">
        <v>37</v>
      </c>
      <c r="C201" s="27" t="s">
        <v>33</v>
      </c>
      <c r="D201" s="31"/>
      <c r="E201" s="31"/>
      <c r="F201" s="55">
        <f t="shared" si="31"/>
        <v>0</v>
      </c>
      <c r="G201" s="31">
        <f>+G191+F201</f>
        <v>573676.49999999988</v>
      </c>
      <c r="H201" s="56">
        <v>0</v>
      </c>
      <c r="I201" s="31">
        <v>0</v>
      </c>
      <c r="J201" s="21"/>
      <c r="K201" s="1"/>
    </row>
    <row r="202" spans="2:11" hidden="1" x14ac:dyDescent="0.35">
      <c r="B202" s="40">
        <v>38</v>
      </c>
      <c r="C202" s="16" t="s">
        <v>28</v>
      </c>
      <c r="D202" s="25"/>
      <c r="E202" s="25"/>
      <c r="F202" s="47">
        <f t="shared" si="29"/>
        <v>0</v>
      </c>
      <c r="G202" s="25">
        <f>+G184+F202</f>
        <v>573676.49999999988</v>
      </c>
      <c r="H202" s="48">
        <v>0</v>
      </c>
      <c r="I202" s="25">
        <v>0</v>
      </c>
      <c r="J202" s="21"/>
    </row>
    <row r="203" spans="2:11" hidden="1" x14ac:dyDescent="0.35">
      <c r="B203" s="40">
        <v>39</v>
      </c>
      <c r="C203" s="16" t="s">
        <v>29</v>
      </c>
      <c r="D203" s="25"/>
      <c r="E203" s="25"/>
      <c r="F203" s="47">
        <f t="shared" si="29"/>
        <v>0</v>
      </c>
      <c r="G203" s="25">
        <f t="shared" ref="G203:G205" si="32">+G202+F203</f>
        <v>573676.49999999988</v>
      </c>
      <c r="H203" s="48">
        <v>0</v>
      </c>
      <c r="I203" s="25">
        <v>0</v>
      </c>
      <c r="J203" s="21"/>
    </row>
    <row r="204" spans="2:11" hidden="1" x14ac:dyDescent="0.35">
      <c r="B204" s="40">
        <v>40</v>
      </c>
      <c r="C204" s="16" t="s">
        <v>30</v>
      </c>
      <c r="D204" s="25"/>
      <c r="E204" s="25"/>
      <c r="F204" s="47">
        <f t="shared" si="29"/>
        <v>0</v>
      </c>
      <c r="G204" s="25">
        <f t="shared" si="32"/>
        <v>573676.49999999988</v>
      </c>
      <c r="H204" s="48">
        <v>0</v>
      </c>
      <c r="I204" s="25">
        <v>0</v>
      </c>
      <c r="J204" s="21"/>
    </row>
    <row r="205" spans="2:11" hidden="1" x14ac:dyDescent="0.35">
      <c r="B205" s="40">
        <v>41</v>
      </c>
      <c r="C205" s="16" t="s">
        <v>31</v>
      </c>
      <c r="D205" s="25"/>
      <c r="E205" s="25"/>
      <c r="F205" s="47">
        <f t="shared" si="29"/>
        <v>0</v>
      </c>
      <c r="G205" s="25">
        <f t="shared" si="32"/>
        <v>573676.49999999988</v>
      </c>
      <c r="H205" s="48">
        <v>0</v>
      </c>
      <c r="I205" s="25">
        <v>0</v>
      </c>
      <c r="J205" s="21"/>
    </row>
    <row r="206" spans="2:11" hidden="1" x14ac:dyDescent="0.35">
      <c r="B206" s="40">
        <v>42</v>
      </c>
      <c r="C206" s="17"/>
      <c r="D206" s="25"/>
      <c r="E206" s="25"/>
      <c r="F206" s="47"/>
      <c r="G206" s="25"/>
      <c r="H206" s="48"/>
      <c r="I206" s="25"/>
      <c r="J206" s="21"/>
    </row>
    <row r="207" spans="2:11" x14ac:dyDescent="0.35">
      <c r="B207" s="5"/>
      <c r="C207" s="5"/>
      <c r="D207" s="6"/>
      <c r="E207" s="6"/>
      <c r="F207" s="6"/>
      <c r="G207" s="6"/>
      <c r="H207" s="6"/>
      <c r="I207" s="6"/>
      <c r="J207" s="5"/>
    </row>
    <row r="208" spans="2:11" x14ac:dyDescent="0.35">
      <c r="B208" s="8" t="s">
        <v>34</v>
      </c>
      <c r="C208" s="5"/>
      <c r="D208" s="6"/>
      <c r="E208" s="6"/>
      <c r="F208" s="6"/>
      <c r="G208" s="6"/>
      <c r="H208" s="6"/>
      <c r="I208" s="6"/>
      <c r="J208" s="5"/>
    </row>
    <row r="209" spans="2:10" x14ac:dyDescent="0.35">
      <c r="B209" s="9" t="s">
        <v>35</v>
      </c>
      <c r="C209" s="5"/>
      <c r="D209" s="6"/>
      <c r="E209" s="6"/>
      <c r="F209" s="6"/>
      <c r="G209" s="6"/>
      <c r="H209" s="6"/>
      <c r="I209" s="6"/>
      <c r="J209" s="5"/>
    </row>
    <row r="210" spans="2:10" x14ac:dyDescent="0.35">
      <c r="B210" s="9" t="s">
        <v>36</v>
      </c>
      <c r="C210" s="5"/>
      <c r="D210" s="6"/>
      <c r="E210" s="6"/>
      <c r="F210" s="6"/>
      <c r="G210" s="6"/>
      <c r="H210" s="6"/>
      <c r="I210" s="6"/>
      <c r="J210" s="5"/>
    </row>
    <row r="211" spans="2:10" x14ac:dyDescent="0.35">
      <c r="B211" s="9" t="s">
        <v>37</v>
      </c>
      <c r="C211" s="5"/>
      <c r="D211" s="6"/>
      <c r="E211" s="6"/>
      <c r="F211" s="6"/>
      <c r="G211" s="6"/>
      <c r="H211" s="6"/>
      <c r="I211" s="6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D61:G61"/>
    <mergeCell ref="D56:I56"/>
    <mergeCell ref="B57:J57"/>
    <mergeCell ref="D58:G58"/>
    <mergeCell ref="H58:I59"/>
    <mergeCell ref="D59:G59"/>
    <mergeCell ref="B113:B114"/>
    <mergeCell ref="C113:C114"/>
    <mergeCell ref="H113:H114"/>
    <mergeCell ref="I113:I114"/>
    <mergeCell ref="D114:G114"/>
    <mergeCell ref="B166:B167"/>
    <mergeCell ref="H166:H167"/>
    <mergeCell ref="D162:I162"/>
    <mergeCell ref="B163:J163"/>
    <mergeCell ref="D164:G164"/>
    <mergeCell ref="H164:I165"/>
    <mergeCell ref="D161:I161"/>
    <mergeCell ref="D108:I108"/>
    <mergeCell ref="D55:I55"/>
    <mergeCell ref="D165:G165"/>
    <mergeCell ref="C166:C167"/>
    <mergeCell ref="I166:I167"/>
    <mergeCell ref="D167:G167"/>
    <mergeCell ref="D109:I109"/>
    <mergeCell ref="B110:J110"/>
    <mergeCell ref="D111:G111"/>
    <mergeCell ref="H111:I112"/>
    <mergeCell ref="D112:G112"/>
    <mergeCell ref="B60:B61"/>
    <mergeCell ref="C60:C61"/>
    <mergeCell ref="H60:H61"/>
    <mergeCell ref="I60:I61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211"/>
  <sheetViews>
    <sheetView zoomScale="80" zoomScaleNormal="80" workbookViewId="0">
      <selection activeCell="I224" sqref="I224"/>
    </sheetView>
  </sheetViews>
  <sheetFormatPr defaultColWidth="9" defaultRowHeight="14.5" x14ac:dyDescent="0.35"/>
  <cols>
    <col min="1" max="1" width="2" style="3" customWidth="1"/>
    <col min="2" max="2" width="7.1992187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5" customFormat="1" ht="18.5" x14ac:dyDescent="0.45">
      <c r="B3" s="26"/>
      <c r="C3" s="26"/>
      <c r="D3" s="182" t="s">
        <v>43</v>
      </c>
      <c r="E3" s="182"/>
      <c r="F3" s="182"/>
      <c r="G3" s="182"/>
      <c r="H3" s="182"/>
      <c r="I3" s="182"/>
      <c r="J3" s="26"/>
      <c r="K3" s="36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74" t="s">
        <v>6</v>
      </c>
      <c r="E5" s="175"/>
      <c r="F5" s="175"/>
      <c r="G5" s="176"/>
      <c r="H5" s="166" t="s">
        <v>7</v>
      </c>
      <c r="I5" s="167"/>
      <c r="J5" s="4"/>
      <c r="K5" s="1"/>
      <c r="L5" s="2"/>
    </row>
    <row r="6" spans="2:12" x14ac:dyDescent="0.35">
      <c r="B6" s="12"/>
      <c r="C6" s="13"/>
      <c r="D6" s="170" t="s">
        <v>9</v>
      </c>
      <c r="E6" s="171"/>
      <c r="F6" s="171"/>
      <c r="G6" s="172"/>
      <c r="H6" s="168"/>
      <c r="I6" s="169"/>
      <c r="J6" s="4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61" t="s">
        <v>16</v>
      </c>
      <c r="I7" s="135" t="s">
        <v>17</v>
      </c>
      <c r="J7" s="19"/>
      <c r="K7" s="1"/>
      <c r="L7" s="2"/>
    </row>
    <row r="8" spans="2:12" ht="35.4" customHeight="1" x14ac:dyDescent="0.35">
      <c r="B8" s="134"/>
      <c r="C8" s="136"/>
      <c r="D8" s="163" t="s">
        <v>20</v>
      </c>
      <c r="E8" s="164"/>
      <c r="F8" s="164"/>
      <c r="G8" s="165"/>
      <c r="H8" s="162"/>
      <c r="I8" s="136"/>
      <c r="J8" s="19"/>
      <c r="K8" s="1"/>
    </row>
    <row r="9" spans="2:12" x14ac:dyDescent="0.35">
      <c r="B9" s="40">
        <v>4</v>
      </c>
      <c r="C9" s="38" t="s">
        <v>21</v>
      </c>
      <c r="D9" s="20">
        <v>132961.5</v>
      </c>
      <c r="E9" s="20">
        <v>0</v>
      </c>
      <c r="F9" s="43">
        <f>+D9+E9</f>
        <v>132961.5</v>
      </c>
      <c r="G9" s="20">
        <f>+F9</f>
        <v>132961.5</v>
      </c>
      <c r="H9" s="44">
        <f t="shared" ref="H9:H33" si="0">((G9-I9)/I9)*100</f>
        <v>517.99442249593312</v>
      </c>
      <c r="I9" s="20">
        <v>21515</v>
      </c>
      <c r="J9" s="21"/>
      <c r="K9" s="1"/>
    </row>
    <row r="10" spans="2:12" x14ac:dyDescent="0.35">
      <c r="B10" s="40">
        <v>5</v>
      </c>
      <c r="C10" s="38" t="s">
        <v>22</v>
      </c>
      <c r="D10" s="25">
        <v>412465.22</v>
      </c>
      <c r="E10" s="25">
        <v>0</v>
      </c>
      <c r="F10" s="47">
        <f>+E10+D10</f>
        <v>412465.22</v>
      </c>
      <c r="G10" s="25">
        <f>+G9+F10</f>
        <v>545426.72</v>
      </c>
      <c r="H10" s="48">
        <f t="shared" si="0"/>
        <v>21.041028790353149</v>
      </c>
      <c r="I10" s="25">
        <f>+I9+429098.09</f>
        <v>450613.09</v>
      </c>
      <c r="J10" s="21"/>
      <c r="K10" s="1"/>
    </row>
    <row r="11" spans="2:12" x14ac:dyDescent="0.35">
      <c r="B11" s="40">
        <v>6</v>
      </c>
      <c r="C11" s="38" t="s">
        <v>23</v>
      </c>
      <c r="D11" s="25">
        <v>838322.14</v>
      </c>
      <c r="E11" s="25">
        <v>0</v>
      </c>
      <c r="F11" s="47">
        <f>+E11+D11</f>
        <v>838322.14</v>
      </c>
      <c r="G11" s="25">
        <f t="shared" ref="G11:G33" si="1">+G10+F11</f>
        <v>1383748.8599999999</v>
      </c>
      <c r="H11" s="48">
        <f t="shared" si="0"/>
        <v>73.250922043105746</v>
      </c>
      <c r="I11" s="25">
        <f>+I10+348083.3</f>
        <v>798696.39</v>
      </c>
      <c r="J11" s="21"/>
      <c r="K11" s="1"/>
    </row>
    <row r="12" spans="2:12" x14ac:dyDescent="0.35">
      <c r="B12" s="40">
        <v>7</v>
      </c>
      <c r="C12" s="38" t="s">
        <v>24</v>
      </c>
      <c r="D12" s="25">
        <v>322426.14</v>
      </c>
      <c r="E12" s="25">
        <v>352980</v>
      </c>
      <c r="F12" s="47">
        <f t="shared" ref="F12:F33" si="2">+E12+D12</f>
        <v>675406.14</v>
      </c>
      <c r="G12" s="25">
        <f>+G11+F12</f>
        <v>2059155</v>
      </c>
      <c r="H12" s="48">
        <f t="shared" si="0"/>
        <v>39.718352802955806</v>
      </c>
      <c r="I12" s="25">
        <f>+I11+675093.53</f>
        <v>1473789.92</v>
      </c>
      <c r="J12" s="21"/>
      <c r="K12" s="1"/>
    </row>
    <row r="13" spans="2:12" x14ac:dyDescent="0.35">
      <c r="B13" s="40">
        <v>8</v>
      </c>
      <c r="C13" s="38" t="s">
        <v>25</v>
      </c>
      <c r="D13" s="25">
        <v>773175.73</v>
      </c>
      <c r="E13" s="25">
        <v>0</v>
      </c>
      <c r="F13" s="47">
        <f t="shared" si="2"/>
        <v>773175.73</v>
      </c>
      <c r="G13" s="25">
        <f t="shared" si="1"/>
        <v>2832330.73</v>
      </c>
      <c r="H13" s="48">
        <f t="shared" si="0"/>
        <v>46.437596039333847</v>
      </c>
      <c r="I13" s="25">
        <v>1934155.44</v>
      </c>
      <c r="J13" s="21"/>
      <c r="K13" s="1"/>
    </row>
    <row r="14" spans="2:12" x14ac:dyDescent="0.35">
      <c r="B14" s="40">
        <v>9</v>
      </c>
      <c r="C14" s="38" t="s">
        <v>26</v>
      </c>
      <c r="D14" s="25">
        <v>729160.26</v>
      </c>
      <c r="E14" s="25">
        <v>0</v>
      </c>
      <c r="F14" s="47">
        <f t="shared" si="2"/>
        <v>729160.26</v>
      </c>
      <c r="G14" s="25">
        <f t="shared" si="1"/>
        <v>3561490.99</v>
      </c>
      <c r="H14" s="48">
        <f t="shared" si="0"/>
        <v>36.887881745820856</v>
      </c>
      <c r="I14" s="25">
        <f>+I13+667602.25</f>
        <v>2601757.69</v>
      </c>
      <c r="J14" s="21"/>
      <c r="K14" s="1"/>
    </row>
    <row r="15" spans="2:12" x14ac:dyDescent="0.35">
      <c r="B15" s="40">
        <v>10</v>
      </c>
      <c r="C15" s="38" t="s">
        <v>62</v>
      </c>
      <c r="D15" s="23">
        <v>1093443.6100000001</v>
      </c>
      <c r="E15" s="25">
        <v>69047</v>
      </c>
      <c r="F15" s="24">
        <f t="shared" si="2"/>
        <v>1162490.6100000001</v>
      </c>
      <c r="G15" s="25">
        <f t="shared" si="1"/>
        <v>4723981.6000000006</v>
      </c>
      <c r="H15" s="48">
        <f t="shared" si="0"/>
        <v>34.626250424541723</v>
      </c>
      <c r="I15" s="25">
        <f>+I14+907202.55</f>
        <v>3508960.24</v>
      </c>
      <c r="J15" s="21"/>
      <c r="K15" s="1"/>
    </row>
    <row r="16" spans="2:12" x14ac:dyDescent="0.35">
      <c r="B16" s="40">
        <v>11</v>
      </c>
      <c r="C16" s="38" t="s">
        <v>63</v>
      </c>
      <c r="D16" s="23">
        <v>1093426.69</v>
      </c>
      <c r="E16" s="25">
        <v>0</v>
      </c>
      <c r="F16" s="24">
        <v>1039426.69</v>
      </c>
      <c r="G16" s="25">
        <f t="shared" si="1"/>
        <v>5763408.290000001</v>
      </c>
      <c r="H16" s="48">
        <f t="shared" si="0"/>
        <v>34.941834929239405</v>
      </c>
      <c r="I16" s="25">
        <f>+I15+762071.27</f>
        <v>4271031.51</v>
      </c>
      <c r="J16" s="21"/>
      <c r="K16" s="1"/>
    </row>
    <row r="17" spans="2:11" x14ac:dyDescent="0.35">
      <c r="B17" s="40">
        <v>12</v>
      </c>
      <c r="C17" s="38" t="s">
        <v>78</v>
      </c>
      <c r="D17" s="23">
        <v>1025660.69</v>
      </c>
      <c r="E17" s="25">
        <v>0</v>
      </c>
      <c r="F17" s="24">
        <f t="shared" si="2"/>
        <v>1025660.69</v>
      </c>
      <c r="G17" s="25">
        <f t="shared" si="1"/>
        <v>6789068.9800000004</v>
      </c>
      <c r="H17" s="48">
        <f t="shared" si="0"/>
        <v>41.568958438793501</v>
      </c>
      <c r="I17" s="25">
        <f>+I16+524560.02</f>
        <v>4795591.5299999993</v>
      </c>
      <c r="J17" s="21"/>
      <c r="K17" s="1"/>
    </row>
    <row r="18" spans="2:11" x14ac:dyDescent="0.35">
      <c r="B18" s="40">
        <v>13</v>
      </c>
      <c r="C18" s="38" t="s">
        <v>64</v>
      </c>
      <c r="D18" s="23">
        <v>477617.16</v>
      </c>
      <c r="E18" s="25">
        <v>0</v>
      </c>
      <c r="F18" s="24">
        <f t="shared" si="2"/>
        <v>477617.16</v>
      </c>
      <c r="G18" s="25">
        <f t="shared" si="1"/>
        <v>7266686.1400000006</v>
      </c>
      <c r="H18" s="48">
        <f t="shared" si="0"/>
        <v>40.553191663523187</v>
      </c>
      <c r="I18" s="25">
        <v>5170061.28</v>
      </c>
      <c r="J18" s="21"/>
      <c r="K18" s="1"/>
    </row>
    <row r="19" spans="2:11" x14ac:dyDescent="0.35">
      <c r="B19" s="40">
        <v>14</v>
      </c>
      <c r="C19" s="58" t="s">
        <v>65</v>
      </c>
      <c r="D19" s="23">
        <v>147509.1</v>
      </c>
      <c r="E19" s="25">
        <v>25367.5</v>
      </c>
      <c r="F19" s="24">
        <f t="shared" si="2"/>
        <v>172876.6</v>
      </c>
      <c r="G19" s="25">
        <f t="shared" si="1"/>
        <v>7439562.7400000002</v>
      </c>
      <c r="H19" s="48">
        <f t="shared" si="0"/>
        <v>38.736861793392933</v>
      </c>
      <c r="I19" s="25">
        <f>+I18+192293.5</f>
        <v>5362354.78</v>
      </c>
      <c r="J19" s="21"/>
      <c r="K19" s="1"/>
    </row>
    <row r="20" spans="2:11" x14ac:dyDescent="0.35">
      <c r="B20" s="40">
        <v>15</v>
      </c>
      <c r="C20" s="38" t="s">
        <v>66</v>
      </c>
      <c r="D20" s="23">
        <v>325418.5</v>
      </c>
      <c r="E20" s="25">
        <v>0</v>
      </c>
      <c r="F20" s="24">
        <f t="shared" si="2"/>
        <v>325418.5</v>
      </c>
      <c r="G20" s="25">
        <f t="shared" si="1"/>
        <v>7764981.2400000002</v>
      </c>
      <c r="H20" s="48">
        <f t="shared" si="0"/>
        <v>38.702057024710015</v>
      </c>
      <c r="I20" s="25">
        <f>+I19+235962.51</f>
        <v>5598317.29</v>
      </c>
      <c r="J20" s="21"/>
      <c r="K20" s="1"/>
    </row>
    <row r="21" spans="2:11" x14ac:dyDescent="0.35">
      <c r="B21" s="40">
        <v>16</v>
      </c>
      <c r="C21" s="38" t="s">
        <v>67</v>
      </c>
      <c r="D21" s="23">
        <v>348307.07</v>
      </c>
      <c r="E21" s="25">
        <v>0</v>
      </c>
      <c r="F21" s="24">
        <f t="shared" si="2"/>
        <v>348307.07</v>
      </c>
      <c r="G21" s="25">
        <f t="shared" si="1"/>
        <v>8113288.3100000005</v>
      </c>
      <c r="H21" s="48">
        <f t="shared" si="0"/>
        <v>38.207212930243472</v>
      </c>
      <c r="I21" s="25">
        <v>5870379.7999999998</v>
      </c>
      <c r="J21" s="21"/>
      <c r="K21" s="1"/>
    </row>
    <row r="22" spans="2:11" x14ac:dyDescent="0.35">
      <c r="B22" s="40">
        <v>17</v>
      </c>
      <c r="C22" s="38" t="s">
        <v>68</v>
      </c>
      <c r="D22" s="23">
        <v>171055.08</v>
      </c>
      <c r="E22" s="25">
        <v>0</v>
      </c>
      <c r="F22" s="24">
        <f t="shared" si="2"/>
        <v>171055.08</v>
      </c>
      <c r="G22" s="25">
        <f t="shared" si="1"/>
        <v>8284343.3900000006</v>
      </c>
      <c r="H22" s="48">
        <f t="shared" si="0"/>
        <v>34.446025803968887</v>
      </c>
      <c r="I22" s="25">
        <f>+I21+291456.03</f>
        <v>6161835.8300000001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76257.02</v>
      </c>
      <c r="E23" s="25">
        <v>0</v>
      </c>
      <c r="F23" s="47">
        <f t="shared" si="2"/>
        <v>76257.02</v>
      </c>
      <c r="G23" s="25">
        <f t="shared" si="1"/>
        <v>8360600.4100000001</v>
      </c>
      <c r="H23" s="48">
        <f t="shared" si="0"/>
        <v>31.058738543573028</v>
      </c>
      <c r="I23" s="25">
        <f>+I22+217441.51</f>
        <v>6379277.3399999999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21513</v>
      </c>
      <c r="E24" s="25">
        <v>0</v>
      </c>
      <c r="F24" s="24">
        <f t="shared" si="2"/>
        <v>21513</v>
      </c>
      <c r="G24" s="25">
        <f t="shared" si="1"/>
        <v>8382113.4100000001</v>
      </c>
      <c r="H24" s="48">
        <f t="shared" si="0"/>
        <v>30.143705850263164</v>
      </c>
      <c r="I24" s="25">
        <f>+I23+61382.51</f>
        <v>6440659.8499999996</v>
      </c>
      <c r="J24" s="21"/>
      <c r="K24" s="1"/>
    </row>
    <row r="25" spans="2:11" x14ac:dyDescent="0.35">
      <c r="B25" s="40">
        <v>20</v>
      </c>
      <c r="C25" s="38" t="s">
        <v>71</v>
      </c>
      <c r="D25" s="25">
        <v>11193</v>
      </c>
      <c r="E25" s="25">
        <v>0</v>
      </c>
      <c r="F25" s="47">
        <f t="shared" si="2"/>
        <v>11193</v>
      </c>
      <c r="G25" s="25">
        <f t="shared" si="1"/>
        <v>8393306.4100000001</v>
      </c>
      <c r="H25" s="48">
        <f t="shared" si="0"/>
        <v>29.668661853044618</v>
      </c>
      <c r="I25" s="25">
        <f>+I24+32227.5</f>
        <v>6472887.3499999996</v>
      </c>
      <c r="J25" s="21"/>
      <c r="K25" s="1"/>
    </row>
    <row r="26" spans="2:11" x14ac:dyDescent="0.35">
      <c r="B26" s="40">
        <v>21</v>
      </c>
      <c r="C26" s="38" t="s">
        <v>83</v>
      </c>
      <c r="D26" s="25">
        <v>7300.5</v>
      </c>
      <c r="E26" s="25">
        <v>0</v>
      </c>
      <c r="F26" s="47">
        <f t="shared" si="2"/>
        <v>7300.5</v>
      </c>
      <c r="G26" s="25">
        <f t="shared" si="1"/>
        <v>8400606.9100000001</v>
      </c>
      <c r="H26" s="48">
        <f t="shared" si="0"/>
        <v>29.75688105282256</v>
      </c>
      <c r="I26" s="25">
        <f>+I25+1225.5</f>
        <v>6474112.8499999996</v>
      </c>
      <c r="J26" s="21"/>
    </row>
    <row r="27" spans="2:11" x14ac:dyDescent="0.35">
      <c r="B27" s="40">
        <v>22</v>
      </c>
      <c r="C27" s="38" t="s">
        <v>73</v>
      </c>
      <c r="D27" s="25">
        <v>64702.5</v>
      </c>
      <c r="E27" s="25">
        <v>0</v>
      </c>
      <c r="F27" s="47">
        <f t="shared" si="2"/>
        <v>64702.5</v>
      </c>
      <c r="G27" s="25">
        <f t="shared" si="1"/>
        <v>8465309.4100000001</v>
      </c>
      <c r="H27" s="48">
        <f t="shared" si="0"/>
        <v>30.756284391922527</v>
      </c>
      <c r="I27" s="25">
        <f>+I26+0</f>
        <v>6474112.8499999996</v>
      </c>
      <c r="J27" s="21"/>
    </row>
    <row r="28" spans="2:11" x14ac:dyDescent="0.35">
      <c r="B28" s="40">
        <v>23</v>
      </c>
      <c r="C28" s="38" t="s">
        <v>80</v>
      </c>
      <c r="D28" s="25">
        <v>12255.5</v>
      </c>
      <c r="E28" s="25">
        <v>0</v>
      </c>
      <c r="F28" s="47">
        <f t="shared" si="2"/>
        <v>12255.5</v>
      </c>
      <c r="G28" s="25">
        <f t="shared" si="1"/>
        <v>8477564.9100000001</v>
      </c>
      <c r="H28" s="48">
        <f t="shared" si="0"/>
        <v>30.945584459498583</v>
      </c>
      <c r="I28" s="25">
        <f>+I27+0</f>
        <v>6474112.8499999996</v>
      </c>
      <c r="J28" s="21"/>
    </row>
    <row r="29" spans="2:11" x14ac:dyDescent="0.35">
      <c r="B29" s="40">
        <v>24</v>
      </c>
      <c r="C29" s="38" t="s">
        <v>75</v>
      </c>
      <c r="D29" s="25">
        <v>860</v>
      </c>
      <c r="E29" s="25">
        <v>0</v>
      </c>
      <c r="F29" s="47">
        <f t="shared" si="2"/>
        <v>860</v>
      </c>
      <c r="G29" s="25">
        <f t="shared" si="1"/>
        <v>8478424.9100000001</v>
      </c>
      <c r="H29" s="48">
        <f t="shared" si="0"/>
        <v>30.792552159832947</v>
      </c>
      <c r="I29" s="25">
        <f>+I28+8232.49</f>
        <v>6482345.3399999999</v>
      </c>
      <c r="J29" s="21"/>
    </row>
    <row r="30" spans="2:11" x14ac:dyDescent="0.35">
      <c r="B30" s="40">
        <v>25</v>
      </c>
      <c r="C30" s="77" t="s">
        <v>84</v>
      </c>
      <c r="D30" s="25">
        <v>0</v>
      </c>
      <c r="E30" s="25">
        <v>0</v>
      </c>
      <c r="F30" s="47">
        <f t="shared" si="2"/>
        <v>0</v>
      </c>
      <c r="G30" s="25">
        <f t="shared" si="1"/>
        <v>8478424.9100000001</v>
      </c>
      <c r="H30" s="48">
        <f t="shared" si="0"/>
        <v>30.792552159832947</v>
      </c>
      <c r="I30" s="25">
        <f>+I29+0</f>
        <v>6482345.3399999999</v>
      </c>
      <c r="J30" s="21"/>
    </row>
    <row r="31" spans="2:11" x14ac:dyDescent="0.35">
      <c r="B31" s="111">
        <v>26</v>
      </c>
      <c r="C31" s="112" t="s">
        <v>77</v>
      </c>
      <c r="D31" s="105">
        <v>200.5</v>
      </c>
      <c r="E31" s="106">
        <v>0</v>
      </c>
      <c r="F31" s="107">
        <f t="shared" si="2"/>
        <v>200.5</v>
      </c>
      <c r="G31" s="106">
        <f t="shared" si="1"/>
        <v>8478625.4100000001</v>
      </c>
      <c r="H31" s="48">
        <f t="shared" si="0"/>
        <v>30.795645176163976</v>
      </c>
      <c r="I31" s="25">
        <f>+I30+0</f>
        <v>6482345.3399999999</v>
      </c>
      <c r="J31" s="21"/>
    </row>
    <row r="32" spans="2:11" x14ac:dyDescent="0.35">
      <c r="B32" s="111">
        <v>27</v>
      </c>
      <c r="C32" s="77" t="s">
        <v>81</v>
      </c>
      <c r="D32" s="119">
        <v>0</v>
      </c>
      <c r="E32" s="120">
        <v>0</v>
      </c>
      <c r="F32" s="121">
        <f t="shared" si="2"/>
        <v>0</v>
      </c>
      <c r="G32" s="120">
        <f t="shared" si="1"/>
        <v>8478625.4100000001</v>
      </c>
      <c r="H32" s="48">
        <f t="shared" si="0"/>
        <v>30.795645176163976</v>
      </c>
      <c r="I32" s="25">
        <f>+I31+0</f>
        <v>6482345.3399999999</v>
      </c>
      <c r="J32" s="21"/>
    </row>
    <row r="33" spans="2:11" x14ac:dyDescent="0.35">
      <c r="B33" s="110">
        <v>28</v>
      </c>
      <c r="C33" s="77" t="s">
        <v>87</v>
      </c>
      <c r="D33" s="108">
        <v>0</v>
      </c>
      <c r="E33" s="108">
        <v>4389</v>
      </c>
      <c r="F33" s="109">
        <f t="shared" si="2"/>
        <v>4389</v>
      </c>
      <c r="G33" s="109">
        <f t="shared" si="1"/>
        <v>8483014.4100000001</v>
      </c>
      <c r="H33" s="48">
        <f t="shared" si="0"/>
        <v>30.863352152108583</v>
      </c>
      <c r="I33" s="25">
        <f>+I32+0</f>
        <v>6482345.3399999999</v>
      </c>
      <c r="J33" s="21"/>
      <c r="K33" s="1"/>
    </row>
    <row r="34" spans="2:11" hidden="1" x14ac:dyDescent="0.35">
      <c r="B34" s="40">
        <v>29</v>
      </c>
      <c r="C34" s="17" t="s">
        <v>32</v>
      </c>
      <c r="D34" s="23"/>
      <c r="E34" s="23"/>
      <c r="F34" s="24">
        <f t="shared" ref="F34:F35" si="3">+E34+D34</f>
        <v>0</v>
      </c>
      <c r="G34" s="23">
        <f t="shared" ref="G34:G35" si="4">+G33+F34</f>
        <v>8483014.4100000001</v>
      </c>
      <c r="H34" s="11">
        <v>0</v>
      </c>
      <c r="I34" s="25">
        <v>0</v>
      </c>
      <c r="J34" s="21"/>
    </row>
    <row r="35" spans="2:11" hidden="1" x14ac:dyDescent="0.35">
      <c r="B35" s="40">
        <v>30</v>
      </c>
      <c r="C35" s="27" t="s">
        <v>33</v>
      </c>
      <c r="D35" s="28"/>
      <c r="E35" s="28"/>
      <c r="F35" s="29">
        <f t="shared" si="3"/>
        <v>0</v>
      </c>
      <c r="G35" s="28">
        <f t="shared" si="4"/>
        <v>8483014.4100000001</v>
      </c>
      <c r="H35" s="30">
        <v>0</v>
      </c>
      <c r="I35" s="31">
        <v>0</v>
      </c>
      <c r="J35" s="21"/>
    </row>
    <row r="36" spans="2:11" hidden="1" x14ac:dyDescent="0.35">
      <c r="B36" s="40">
        <v>31</v>
      </c>
      <c r="C36" s="16" t="s">
        <v>27</v>
      </c>
      <c r="D36" s="23"/>
      <c r="E36" s="23"/>
      <c r="F36" s="24">
        <f t="shared" ref="F36:F42" si="5">+E36+D36</f>
        <v>0</v>
      </c>
      <c r="G36" s="23">
        <f>+G33+F36</f>
        <v>8483014.4100000001</v>
      </c>
      <c r="H36" s="11">
        <v>0</v>
      </c>
      <c r="I36" s="25">
        <v>0</v>
      </c>
      <c r="J36" s="21"/>
    </row>
    <row r="37" spans="2:11" hidden="1" x14ac:dyDescent="0.35">
      <c r="B37" s="40">
        <v>32</v>
      </c>
      <c r="C37" s="16" t="s">
        <v>28</v>
      </c>
      <c r="D37" s="23"/>
      <c r="E37" s="23"/>
      <c r="F37" s="24">
        <f t="shared" si="5"/>
        <v>0</v>
      </c>
      <c r="G37" s="23">
        <f t="shared" ref="G37:G42" si="6">+G36+F37</f>
        <v>8483014.4100000001</v>
      </c>
      <c r="H37" s="11">
        <v>0</v>
      </c>
      <c r="I37" s="25">
        <v>0</v>
      </c>
      <c r="J37" s="21"/>
    </row>
    <row r="38" spans="2:11" hidden="1" x14ac:dyDescent="0.35">
      <c r="B38" s="40">
        <v>33</v>
      </c>
      <c r="C38" s="16" t="s">
        <v>29</v>
      </c>
      <c r="D38" s="23"/>
      <c r="E38" s="23"/>
      <c r="F38" s="24">
        <f t="shared" si="5"/>
        <v>0</v>
      </c>
      <c r="G38" s="23">
        <f t="shared" si="6"/>
        <v>8483014.4100000001</v>
      </c>
      <c r="H38" s="11">
        <v>0</v>
      </c>
      <c r="I38" s="25">
        <v>0</v>
      </c>
      <c r="J38" s="21"/>
    </row>
    <row r="39" spans="2:11" hidden="1" x14ac:dyDescent="0.35">
      <c r="B39" s="40">
        <v>34</v>
      </c>
      <c r="C39" s="16" t="s">
        <v>30</v>
      </c>
      <c r="D39" s="23"/>
      <c r="E39" s="23"/>
      <c r="F39" s="24">
        <f t="shared" si="5"/>
        <v>0</v>
      </c>
      <c r="G39" s="23">
        <f t="shared" si="6"/>
        <v>8483014.4100000001</v>
      </c>
      <c r="H39" s="11">
        <v>0</v>
      </c>
      <c r="I39" s="25">
        <v>0</v>
      </c>
      <c r="J39" s="21"/>
    </row>
    <row r="40" spans="2:11" hidden="1" x14ac:dyDescent="0.35">
      <c r="B40" s="40">
        <v>35</v>
      </c>
      <c r="C40" s="16" t="s">
        <v>31</v>
      </c>
      <c r="D40" s="23"/>
      <c r="E40" s="23"/>
      <c r="F40" s="24">
        <f t="shared" si="5"/>
        <v>0</v>
      </c>
      <c r="G40" s="23">
        <f t="shared" si="6"/>
        <v>8483014.4100000001</v>
      </c>
      <c r="H40" s="11">
        <v>0</v>
      </c>
      <c r="I40" s="25">
        <v>0</v>
      </c>
      <c r="J40" s="21"/>
    </row>
    <row r="41" spans="2:11" hidden="1" x14ac:dyDescent="0.35">
      <c r="B41" s="40">
        <v>36</v>
      </c>
      <c r="C41" s="17" t="s">
        <v>32</v>
      </c>
      <c r="D41" s="23"/>
      <c r="E41" s="23"/>
      <c r="F41" s="24">
        <f t="shared" si="5"/>
        <v>0</v>
      </c>
      <c r="G41" s="23">
        <f t="shared" si="6"/>
        <v>8483014.4100000001</v>
      </c>
      <c r="H41" s="11">
        <v>0</v>
      </c>
      <c r="I41" s="25">
        <v>0</v>
      </c>
      <c r="J41" s="21"/>
    </row>
    <row r="42" spans="2:11" hidden="1" x14ac:dyDescent="0.35">
      <c r="B42" s="40">
        <v>37</v>
      </c>
      <c r="C42" s="27" t="s">
        <v>33</v>
      </c>
      <c r="D42" s="28"/>
      <c r="E42" s="28"/>
      <c r="F42" s="29">
        <f t="shared" si="5"/>
        <v>0</v>
      </c>
      <c r="G42" s="28">
        <f t="shared" si="6"/>
        <v>8483014.4100000001</v>
      </c>
      <c r="H42" s="30">
        <v>0</v>
      </c>
      <c r="I42" s="31">
        <v>0</v>
      </c>
      <c r="J42" s="21"/>
    </row>
    <row r="43" spans="2:11" hidden="1" x14ac:dyDescent="0.35">
      <c r="B43" s="40">
        <v>38</v>
      </c>
      <c r="C43" s="16" t="s">
        <v>29</v>
      </c>
      <c r="D43" s="23"/>
      <c r="E43" s="23"/>
      <c r="F43" s="24">
        <f t="shared" ref="F43:F47" si="7">+E43+D43</f>
        <v>0</v>
      </c>
      <c r="G43" s="23">
        <f>+G33+F43</f>
        <v>8483014.4100000001</v>
      </c>
      <c r="H43" s="11">
        <v>0</v>
      </c>
      <c r="I43" s="25">
        <v>0</v>
      </c>
      <c r="J43" s="21"/>
      <c r="K43" s="1"/>
    </row>
    <row r="44" spans="2:11" hidden="1" x14ac:dyDescent="0.35">
      <c r="B44" s="40">
        <v>39</v>
      </c>
      <c r="C44" s="16" t="s">
        <v>30</v>
      </c>
      <c r="D44" s="23"/>
      <c r="E44" s="23"/>
      <c r="F44" s="24">
        <f t="shared" si="7"/>
        <v>0</v>
      </c>
      <c r="G44" s="23">
        <f t="shared" ref="G44:G47" si="8">+G43+F44</f>
        <v>8483014.4100000001</v>
      </c>
      <c r="H44" s="11">
        <v>0</v>
      </c>
      <c r="I44" s="25">
        <v>0</v>
      </c>
      <c r="J44" s="21"/>
      <c r="K44" s="1"/>
    </row>
    <row r="45" spans="2:11" hidden="1" x14ac:dyDescent="0.35">
      <c r="B45" s="40">
        <v>40</v>
      </c>
      <c r="C45" s="16" t="s">
        <v>31</v>
      </c>
      <c r="D45" s="23"/>
      <c r="E45" s="23"/>
      <c r="F45" s="24">
        <f t="shared" si="7"/>
        <v>0</v>
      </c>
      <c r="G45" s="23">
        <f t="shared" si="8"/>
        <v>8483014.4100000001</v>
      </c>
      <c r="H45" s="11">
        <v>0</v>
      </c>
      <c r="I45" s="25">
        <v>0</v>
      </c>
      <c r="J45" s="21"/>
      <c r="K45" s="1"/>
    </row>
    <row r="46" spans="2:11" hidden="1" x14ac:dyDescent="0.35">
      <c r="B46" s="40">
        <v>41</v>
      </c>
      <c r="C46" s="17" t="s">
        <v>32</v>
      </c>
      <c r="D46" s="23"/>
      <c r="E46" s="23"/>
      <c r="F46" s="24">
        <f t="shared" si="7"/>
        <v>0</v>
      </c>
      <c r="G46" s="23">
        <f t="shared" si="8"/>
        <v>8483014.4100000001</v>
      </c>
      <c r="H46" s="11">
        <v>0</v>
      </c>
      <c r="I46" s="25">
        <v>0</v>
      </c>
      <c r="J46" s="21"/>
      <c r="K46" s="1"/>
    </row>
    <row r="47" spans="2:11" hidden="1" x14ac:dyDescent="0.35">
      <c r="B47" s="40">
        <v>42</v>
      </c>
      <c r="C47" s="27" t="s">
        <v>33</v>
      </c>
      <c r="D47" s="28"/>
      <c r="E47" s="28"/>
      <c r="F47" s="29">
        <f t="shared" si="7"/>
        <v>0</v>
      </c>
      <c r="G47" s="28">
        <f t="shared" si="8"/>
        <v>8483014.4100000001</v>
      </c>
      <c r="H47" s="30">
        <v>0</v>
      </c>
      <c r="I47" s="31">
        <v>0</v>
      </c>
      <c r="J47" s="21"/>
      <c r="K47" s="1"/>
    </row>
    <row r="48" spans="2:11" x14ac:dyDescent="0.35">
      <c r="B48" s="5"/>
      <c r="C48" s="5"/>
      <c r="D48" s="6"/>
      <c r="E48" s="6"/>
      <c r="F48" s="6"/>
      <c r="G48" s="6"/>
      <c r="H48" s="7"/>
      <c r="I48" s="6"/>
      <c r="J48" s="5"/>
      <c r="K48" s="1"/>
    </row>
    <row r="49" spans="2:11" x14ac:dyDescent="0.35">
      <c r="B49" s="8" t="s">
        <v>34</v>
      </c>
      <c r="C49" s="5"/>
      <c r="D49" s="5"/>
      <c r="E49" s="5"/>
      <c r="F49" s="5"/>
      <c r="G49" s="5"/>
      <c r="H49" s="5"/>
      <c r="I49" s="5"/>
      <c r="J49" s="5"/>
      <c r="K49" s="1"/>
    </row>
    <row r="50" spans="2:11" x14ac:dyDescent="0.35">
      <c r="B50" s="9" t="s">
        <v>35</v>
      </c>
      <c r="C50" s="5"/>
      <c r="D50" s="5"/>
      <c r="E50" s="5"/>
      <c r="F50" s="5"/>
      <c r="G50" s="5"/>
      <c r="H50" s="5"/>
      <c r="I50" s="5"/>
      <c r="J50" s="5"/>
      <c r="K50" s="1"/>
    </row>
    <row r="51" spans="2:11" x14ac:dyDescent="0.35">
      <c r="B51" s="9" t="s">
        <v>36</v>
      </c>
      <c r="C51" s="5"/>
      <c r="D51" s="5"/>
      <c r="E51" s="5"/>
      <c r="F51" s="5"/>
      <c r="G51" s="5"/>
      <c r="H51" s="5"/>
      <c r="I51" s="5"/>
      <c r="J51" s="5"/>
      <c r="K51" s="1"/>
    </row>
    <row r="52" spans="2:11" x14ac:dyDescent="0.35">
      <c r="B52" s="9" t="s">
        <v>37</v>
      </c>
      <c r="C52" s="5"/>
      <c r="D52" s="5"/>
      <c r="E52" s="5"/>
      <c r="F52" s="5"/>
      <c r="G52" s="5"/>
      <c r="H52" s="5"/>
      <c r="I52" s="5"/>
      <c r="J52" s="5"/>
      <c r="K52" s="1"/>
    </row>
    <row r="53" spans="2:11" x14ac:dyDescent="0.35">
      <c r="B53" s="9"/>
      <c r="C53" s="5"/>
      <c r="D53" s="5"/>
      <c r="E53" s="5"/>
      <c r="F53" s="5"/>
      <c r="G53" s="5"/>
      <c r="H53" s="5"/>
      <c r="I53" s="5"/>
      <c r="J53" s="5"/>
      <c r="K53" s="1"/>
    </row>
    <row r="54" spans="2:11" x14ac:dyDescent="0.35">
      <c r="B54" s="9"/>
      <c r="C54" s="5"/>
      <c r="D54" s="5"/>
      <c r="E54" s="5"/>
      <c r="F54" s="5"/>
      <c r="G54" s="5"/>
      <c r="H54" s="5"/>
      <c r="I54" s="5"/>
      <c r="J54" s="5"/>
      <c r="K54" s="1"/>
    </row>
    <row r="55" spans="2:11" ht="18.5" x14ac:dyDescent="0.45">
      <c r="B55" s="10"/>
      <c r="C55" s="10"/>
      <c r="D55" s="180" t="s">
        <v>38</v>
      </c>
      <c r="E55" s="180"/>
      <c r="F55" s="180"/>
      <c r="G55" s="180"/>
      <c r="H55" s="180"/>
      <c r="I55" s="180"/>
      <c r="J55" s="10"/>
    </row>
    <row r="56" spans="2:11" s="35" customFormat="1" ht="16" x14ac:dyDescent="0.4">
      <c r="B56" s="26"/>
      <c r="C56" s="26"/>
      <c r="D56" s="181" t="s">
        <v>43</v>
      </c>
      <c r="E56" s="181"/>
      <c r="F56" s="181"/>
      <c r="G56" s="181"/>
      <c r="H56" s="181"/>
      <c r="I56" s="181"/>
      <c r="J56" s="26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74" t="s">
        <v>6</v>
      </c>
      <c r="E58" s="175"/>
      <c r="F58" s="175"/>
      <c r="G58" s="176"/>
      <c r="H58" s="166" t="s">
        <v>7</v>
      </c>
      <c r="I58" s="167"/>
      <c r="J58" s="4"/>
    </row>
    <row r="59" spans="2:11" x14ac:dyDescent="0.35">
      <c r="B59" s="12"/>
      <c r="C59" s="13"/>
      <c r="D59" s="170" t="s">
        <v>9</v>
      </c>
      <c r="E59" s="171"/>
      <c r="F59" s="171"/>
      <c r="G59" s="172"/>
      <c r="H59" s="168"/>
      <c r="I59" s="169"/>
      <c r="J59" s="4"/>
    </row>
    <row r="60" spans="2:11" ht="14.4" customHeight="1" x14ac:dyDescent="0.35">
      <c r="B60" s="133" t="s">
        <v>10</v>
      </c>
      <c r="C60" s="135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61" t="s">
        <v>16</v>
      </c>
      <c r="I60" s="135" t="s">
        <v>17</v>
      </c>
      <c r="J60" s="19"/>
    </row>
    <row r="61" spans="2:11" ht="37.65" customHeight="1" x14ac:dyDescent="0.35">
      <c r="B61" s="134"/>
      <c r="C61" s="136"/>
      <c r="D61" s="163" t="s">
        <v>20</v>
      </c>
      <c r="E61" s="164"/>
      <c r="F61" s="164"/>
      <c r="G61" s="165"/>
      <c r="H61" s="162"/>
      <c r="I61" s="136"/>
      <c r="J61" s="19"/>
    </row>
    <row r="62" spans="2:11" x14ac:dyDescent="0.35">
      <c r="B62" s="40">
        <v>4</v>
      </c>
      <c r="C62" s="50" t="s">
        <v>21</v>
      </c>
      <c r="D62" s="20">
        <v>72307.5</v>
      </c>
      <c r="E62" s="20">
        <v>0</v>
      </c>
      <c r="F62" s="43">
        <f>+D62+E62</f>
        <v>72307.5</v>
      </c>
      <c r="G62" s="20">
        <f>+F62</f>
        <v>72307.5</v>
      </c>
      <c r="H62" s="44">
        <f t="shared" ref="H62:H86" si="9">((G62-I62)/I62)*100</f>
        <v>236.07947943295375</v>
      </c>
      <c r="I62" s="20">
        <v>21515</v>
      </c>
      <c r="J62" s="21"/>
    </row>
    <row r="63" spans="2:11" x14ac:dyDescent="0.35">
      <c r="B63" s="40">
        <v>5</v>
      </c>
      <c r="C63" s="50" t="s">
        <v>22</v>
      </c>
      <c r="D63" s="25">
        <v>237441</v>
      </c>
      <c r="E63" s="25">
        <v>0</v>
      </c>
      <c r="F63" s="47">
        <f>+E63+D63</f>
        <v>237441</v>
      </c>
      <c r="G63" s="25">
        <f>+G62+F63</f>
        <v>309748.5</v>
      </c>
      <c r="H63" s="48">
        <f t="shared" si="9"/>
        <v>-3.3713350730216765</v>
      </c>
      <c r="I63" s="25">
        <f>+I62+299040.5</f>
        <v>320555.5</v>
      </c>
      <c r="J63" s="21"/>
    </row>
    <row r="64" spans="2:11" x14ac:dyDescent="0.35">
      <c r="B64" s="40">
        <v>6</v>
      </c>
      <c r="C64" s="50" t="s">
        <v>23</v>
      </c>
      <c r="D64" s="25">
        <v>744454.5</v>
      </c>
      <c r="E64" s="25">
        <v>0</v>
      </c>
      <c r="F64" s="47">
        <f>+E64+D64</f>
        <v>744454.5</v>
      </c>
      <c r="G64" s="25">
        <f t="shared" ref="G64" si="10">+G63+F64</f>
        <v>1054203</v>
      </c>
      <c r="H64" s="48">
        <f t="shared" si="9"/>
        <v>66.462718047065323</v>
      </c>
      <c r="I64" s="25">
        <f>+I63+312741.26</f>
        <v>633296.76</v>
      </c>
      <c r="J64" s="21"/>
    </row>
    <row r="65" spans="2:10" x14ac:dyDescent="0.35">
      <c r="B65" s="40">
        <v>7</v>
      </c>
      <c r="C65" s="50" t="s">
        <v>24</v>
      </c>
      <c r="D65" s="25">
        <v>214041</v>
      </c>
      <c r="E65" s="25">
        <v>340716</v>
      </c>
      <c r="F65" s="47">
        <f t="shared" ref="F65:F86" si="11">+E65+D65</f>
        <v>554757</v>
      </c>
      <c r="G65" s="25">
        <f>+G64+F65</f>
        <v>1608960</v>
      </c>
      <c r="H65" s="48">
        <f t="shared" si="9"/>
        <v>24.75572876226904</v>
      </c>
      <c r="I65" s="25">
        <f>+I64+656391.51</f>
        <v>1289688.27</v>
      </c>
      <c r="J65" s="21"/>
    </row>
    <row r="66" spans="2:10" x14ac:dyDescent="0.35">
      <c r="B66" s="40">
        <v>8</v>
      </c>
      <c r="C66" s="50" t="s">
        <v>25</v>
      </c>
      <c r="D66" s="25">
        <v>556868.52</v>
      </c>
      <c r="E66" s="25">
        <v>0</v>
      </c>
      <c r="F66" s="47">
        <f t="shared" si="11"/>
        <v>556868.52</v>
      </c>
      <c r="G66" s="25">
        <f t="shared" ref="G66:G86" si="12">+G65+F66</f>
        <v>2165828.52</v>
      </c>
      <c r="H66" s="48">
        <f t="shared" si="9"/>
        <v>29.777229216183482</v>
      </c>
      <c r="I66" s="25">
        <v>1668881.77</v>
      </c>
      <c r="J66" s="21"/>
    </row>
    <row r="67" spans="2:10" x14ac:dyDescent="0.35">
      <c r="B67" s="40">
        <v>9</v>
      </c>
      <c r="C67" s="38" t="s">
        <v>26</v>
      </c>
      <c r="D67" s="25">
        <v>500004.5</v>
      </c>
      <c r="E67" s="25">
        <v>0</v>
      </c>
      <c r="F67" s="47">
        <f t="shared" si="11"/>
        <v>500004.5</v>
      </c>
      <c r="G67" s="25">
        <f t="shared" si="12"/>
        <v>2665833.02</v>
      </c>
      <c r="H67" s="48">
        <f t="shared" si="9"/>
        <v>16.589784314282209</v>
      </c>
      <c r="I67" s="25">
        <f>+I66+617624.75</f>
        <v>2286506.52</v>
      </c>
      <c r="J67" s="21"/>
    </row>
    <row r="68" spans="2:10" x14ac:dyDescent="0.35">
      <c r="B68" s="40">
        <v>10</v>
      </c>
      <c r="C68" s="38" t="s">
        <v>62</v>
      </c>
      <c r="D68" s="25">
        <v>987340</v>
      </c>
      <c r="E68" s="25">
        <v>69047.100000000006</v>
      </c>
      <c r="F68" s="47">
        <f t="shared" si="11"/>
        <v>1056387.1000000001</v>
      </c>
      <c r="G68" s="25">
        <f t="shared" si="12"/>
        <v>3722220.12</v>
      </c>
      <c r="H68" s="48">
        <f t="shared" si="9"/>
        <v>22.200185540257785</v>
      </c>
      <c r="I68" s="25">
        <f>+I67+759495.5</f>
        <v>3046002.02</v>
      </c>
      <c r="J68" s="21"/>
    </row>
    <row r="69" spans="2:10" x14ac:dyDescent="0.35">
      <c r="B69" s="40">
        <v>11</v>
      </c>
      <c r="C69" s="38" t="s">
        <v>63</v>
      </c>
      <c r="D69" s="25">
        <v>683415.52</v>
      </c>
      <c r="E69" s="25">
        <v>0</v>
      </c>
      <c r="F69" s="47">
        <f t="shared" si="11"/>
        <v>683415.52</v>
      </c>
      <c r="G69" s="25">
        <f t="shared" si="12"/>
        <v>4405635.6400000006</v>
      </c>
      <c r="H69" s="48">
        <f t="shared" si="9"/>
        <v>18.808321294905745</v>
      </c>
      <c r="I69" s="25">
        <f>+I68+662185.75</f>
        <v>3708187.77</v>
      </c>
      <c r="J69" s="21"/>
    </row>
    <row r="70" spans="2:10" x14ac:dyDescent="0.35">
      <c r="B70" s="40">
        <v>12</v>
      </c>
      <c r="C70" s="38" t="s">
        <v>78</v>
      </c>
      <c r="D70" s="25">
        <v>613633.51</v>
      </c>
      <c r="E70" s="25">
        <v>0</v>
      </c>
      <c r="F70" s="47">
        <f t="shared" si="11"/>
        <v>613633.51</v>
      </c>
      <c r="G70" s="25">
        <f t="shared" si="12"/>
        <v>5019269.1500000004</v>
      </c>
      <c r="H70" s="48">
        <f t="shared" si="9"/>
        <v>24.612703123299951</v>
      </c>
      <c r="I70" s="25">
        <f>+I69+319707.48</f>
        <v>4027895.25</v>
      </c>
      <c r="J70" s="21"/>
    </row>
    <row r="71" spans="2:10" x14ac:dyDescent="0.35">
      <c r="B71" s="40">
        <v>13</v>
      </c>
      <c r="C71" s="38" t="s">
        <v>64</v>
      </c>
      <c r="D71" s="25">
        <v>97321.01</v>
      </c>
      <c r="E71" s="25">
        <v>0</v>
      </c>
      <c r="F71" s="47">
        <f t="shared" si="11"/>
        <v>97321.01</v>
      </c>
      <c r="G71" s="25">
        <f t="shared" si="12"/>
        <v>5116590.16</v>
      </c>
      <c r="H71" s="48">
        <f t="shared" si="9"/>
        <v>17.244540843558063</v>
      </c>
      <c r="I71" s="25">
        <v>4364032.75</v>
      </c>
      <c r="J71" s="21"/>
    </row>
    <row r="72" spans="2:10" x14ac:dyDescent="0.35">
      <c r="B72" s="40">
        <v>14</v>
      </c>
      <c r="C72" s="58" t="s">
        <v>65</v>
      </c>
      <c r="D72" s="25">
        <v>39692.019999999997</v>
      </c>
      <c r="E72" s="25">
        <v>25367.5</v>
      </c>
      <c r="F72" s="47">
        <f t="shared" si="11"/>
        <v>65059.519999999997</v>
      </c>
      <c r="G72" s="25">
        <f t="shared" si="12"/>
        <v>5181649.68</v>
      </c>
      <c r="H72" s="48">
        <f t="shared" si="9"/>
        <v>14.266175382982677</v>
      </c>
      <c r="I72" s="25">
        <f>+I71+170686</f>
        <v>4534718.75</v>
      </c>
      <c r="J72" s="21"/>
    </row>
    <row r="73" spans="2:10" x14ac:dyDescent="0.35">
      <c r="B73" s="40">
        <v>15</v>
      </c>
      <c r="C73" s="38" t="s">
        <v>66</v>
      </c>
      <c r="D73" s="25">
        <v>82042</v>
      </c>
      <c r="E73" s="25">
        <v>0</v>
      </c>
      <c r="F73" s="47">
        <f t="shared" si="11"/>
        <v>82042</v>
      </c>
      <c r="G73" s="25">
        <f t="shared" si="12"/>
        <v>5263691.68</v>
      </c>
      <c r="H73" s="48">
        <f t="shared" si="9"/>
        <v>13.675050746713788</v>
      </c>
      <c r="I73" s="25">
        <f>+I72+95753.5</f>
        <v>4630472.25</v>
      </c>
      <c r="J73" s="21"/>
    </row>
    <row r="74" spans="2:10" x14ac:dyDescent="0.35">
      <c r="B74" s="40">
        <v>16</v>
      </c>
      <c r="C74" s="38" t="s">
        <v>67</v>
      </c>
      <c r="D74" s="25">
        <v>23058</v>
      </c>
      <c r="E74" s="25">
        <v>0</v>
      </c>
      <c r="F74" s="47">
        <f t="shared" si="11"/>
        <v>23058</v>
      </c>
      <c r="G74" s="25">
        <f t="shared" si="12"/>
        <v>5286749.68</v>
      </c>
      <c r="H74" s="48">
        <f t="shared" si="9"/>
        <v>8.3996910657314636</v>
      </c>
      <c r="I74" s="25">
        <v>4877089.25</v>
      </c>
      <c r="J74" s="21"/>
    </row>
    <row r="75" spans="2:10" x14ac:dyDescent="0.35">
      <c r="B75" s="40">
        <v>17</v>
      </c>
      <c r="C75" s="38" t="s">
        <v>68</v>
      </c>
      <c r="D75" s="25">
        <v>14867</v>
      </c>
      <c r="E75" s="25">
        <v>0</v>
      </c>
      <c r="F75" s="47">
        <f t="shared" si="11"/>
        <v>14867</v>
      </c>
      <c r="G75" s="25">
        <f t="shared" si="12"/>
        <v>5301616.68</v>
      </c>
      <c r="H75" s="48">
        <f t="shared" si="9"/>
        <v>6.3230047465262853</v>
      </c>
      <c r="I75" s="25">
        <v>4986330.75</v>
      </c>
      <c r="J75" s="21"/>
    </row>
    <row r="76" spans="2:10" x14ac:dyDescent="0.35">
      <c r="B76" s="40">
        <v>18</v>
      </c>
      <c r="C76" s="38" t="s">
        <v>69</v>
      </c>
      <c r="D76" s="25">
        <v>0</v>
      </c>
      <c r="E76" s="25">
        <v>0</v>
      </c>
      <c r="F76" s="47">
        <f t="shared" si="11"/>
        <v>0</v>
      </c>
      <c r="G76" s="25">
        <f t="shared" si="12"/>
        <v>5301616.68</v>
      </c>
      <c r="H76" s="48">
        <f t="shared" si="9"/>
        <v>3.2572184122567833</v>
      </c>
      <c r="I76" s="25">
        <f>+I75+148048</f>
        <v>5134378.75</v>
      </c>
      <c r="J76" s="21"/>
    </row>
    <row r="77" spans="2:10" x14ac:dyDescent="0.35">
      <c r="B77" s="40">
        <v>19</v>
      </c>
      <c r="C77" s="38" t="s">
        <v>70</v>
      </c>
      <c r="D77" s="25">
        <v>2220</v>
      </c>
      <c r="E77" s="25">
        <v>0</v>
      </c>
      <c r="F77" s="47">
        <f t="shared" si="11"/>
        <v>2220</v>
      </c>
      <c r="G77" s="25">
        <f t="shared" si="12"/>
        <v>5303836.68</v>
      </c>
      <c r="H77" s="48">
        <f t="shared" si="9"/>
        <v>2.3332453357375127</v>
      </c>
      <c r="I77" s="25">
        <f>+I76+48528</f>
        <v>5182906.75</v>
      </c>
      <c r="J77" s="21"/>
    </row>
    <row r="78" spans="2:10" x14ac:dyDescent="0.35">
      <c r="B78" s="40">
        <v>20</v>
      </c>
      <c r="C78" s="38" t="s">
        <v>71</v>
      </c>
      <c r="D78" s="25">
        <v>11193</v>
      </c>
      <c r="E78" s="25">
        <v>0</v>
      </c>
      <c r="F78" s="47">
        <f t="shared" si="11"/>
        <v>11193</v>
      </c>
      <c r="G78" s="25">
        <f t="shared" si="12"/>
        <v>5315029.68</v>
      </c>
      <c r="H78" s="48">
        <f t="shared" si="9"/>
        <v>2.4215169158596463</v>
      </c>
      <c r="I78" s="25">
        <f>+I77+6461.5</f>
        <v>5189368.25</v>
      </c>
      <c r="J78" s="21"/>
    </row>
    <row r="79" spans="2:10" x14ac:dyDescent="0.35">
      <c r="B79" s="40">
        <v>21</v>
      </c>
      <c r="C79" s="38" t="s">
        <v>83</v>
      </c>
      <c r="D79" s="25">
        <v>6329</v>
      </c>
      <c r="E79" s="25">
        <v>0</v>
      </c>
      <c r="F79" s="47">
        <f t="shared" si="11"/>
        <v>6329</v>
      </c>
      <c r="G79" s="25">
        <f t="shared" si="12"/>
        <v>5321358.68</v>
      </c>
      <c r="H79" s="48">
        <f t="shared" si="9"/>
        <v>2.5372042998942606</v>
      </c>
      <c r="I79" s="25">
        <f>+I78+317.5</f>
        <v>5189685.75</v>
      </c>
      <c r="J79" s="21"/>
    </row>
    <row r="80" spans="2:10" x14ac:dyDescent="0.35">
      <c r="B80" s="40">
        <v>22</v>
      </c>
      <c r="C80" s="38" t="s">
        <v>73</v>
      </c>
      <c r="D80" s="25">
        <v>8110</v>
      </c>
      <c r="E80" s="25">
        <v>0</v>
      </c>
      <c r="F80" s="47">
        <f t="shared" si="11"/>
        <v>8110</v>
      </c>
      <c r="G80" s="25">
        <f t="shared" si="12"/>
        <v>5329468.68</v>
      </c>
      <c r="H80" s="48">
        <f t="shared" si="9"/>
        <v>2.6934758043875724</v>
      </c>
      <c r="I80" s="25">
        <f>+I79+0</f>
        <v>5189685.75</v>
      </c>
      <c r="J80" s="21"/>
    </row>
    <row r="81" spans="2:11" x14ac:dyDescent="0.35">
      <c r="B81" s="40">
        <v>23</v>
      </c>
      <c r="C81" s="38" t="s">
        <v>80</v>
      </c>
      <c r="D81" s="25">
        <v>12255.5</v>
      </c>
      <c r="E81" s="25">
        <v>0</v>
      </c>
      <c r="F81" s="47">
        <f t="shared" si="11"/>
        <v>12255.5</v>
      </c>
      <c r="G81" s="25">
        <f t="shared" si="12"/>
        <v>5341724.18</v>
      </c>
      <c r="H81" s="48">
        <f t="shared" si="9"/>
        <v>2.929626904673365</v>
      </c>
      <c r="I81" s="25">
        <f>+I80+0</f>
        <v>5189685.75</v>
      </c>
      <c r="J81" s="21"/>
    </row>
    <row r="82" spans="2:11" x14ac:dyDescent="0.35">
      <c r="B82" s="40">
        <v>24</v>
      </c>
      <c r="C82" s="38" t="s">
        <v>75</v>
      </c>
      <c r="D82" s="25">
        <v>860</v>
      </c>
      <c r="E82" s="25">
        <v>0</v>
      </c>
      <c r="F82" s="47">
        <f t="shared" si="11"/>
        <v>860</v>
      </c>
      <c r="G82" s="25">
        <f t="shared" si="12"/>
        <v>5342584.18</v>
      </c>
      <c r="H82" s="48">
        <f t="shared" si="9"/>
        <v>2.7831515102861539</v>
      </c>
      <c r="I82" s="25">
        <f>+I81+8232.49</f>
        <v>5197918.24</v>
      </c>
      <c r="J82" s="21"/>
    </row>
    <row r="83" spans="2:11" x14ac:dyDescent="0.35">
      <c r="B83" s="40">
        <v>25</v>
      </c>
      <c r="C83" s="77" t="s">
        <v>84</v>
      </c>
      <c r="D83" s="25">
        <v>0</v>
      </c>
      <c r="E83" s="25">
        <v>0</v>
      </c>
      <c r="F83" s="47">
        <f t="shared" si="11"/>
        <v>0</v>
      </c>
      <c r="G83" s="25">
        <f t="shared" si="12"/>
        <v>5342584.18</v>
      </c>
      <c r="H83" s="48">
        <f t="shared" si="9"/>
        <v>2.7831515102861539</v>
      </c>
      <c r="I83" s="25">
        <f>+I82+0</f>
        <v>5197918.24</v>
      </c>
      <c r="J83" s="21"/>
    </row>
    <row r="84" spans="2:11" x14ac:dyDescent="0.35">
      <c r="B84" s="111">
        <v>26</v>
      </c>
      <c r="C84" s="112" t="s">
        <v>77</v>
      </c>
      <c r="D84" s="105">
        <v>200.5</v>
      </c>
      <c r="E84" s="106">
        <v>0</v>
      </c>
      <c r="F84" s="107">
        <f t="shared" si="11"/>
        <v>200.5</v>
      </c>
      <c r="G84" s="106">
        <f t="shared" si="12"/>
        <v>5342784.68</v>
      </c>
      <c r="H84" s="48">
        <f t="shared" si="9"/>
        <v>2.7870088237478599</v>
      </c>
      <c r="I84" s="25">
        <f>+I83+0</f>
        <v>5197918.24</v>
      </c>
      <c r="J84" s="21"/>
      <c r="K84" s="1"/>
    </row>
    <row r="85" spans="2:11" x14ac:dyDescent="0.35">
      <c r="B85" s="111">
        <v>27</v>
      </c>
      <c r="C85" s="77" t="s">
        <v>81</v>
      </c>
      <c r="D85" s="119">
        <v>0</v>
      </c>
      <c r="E85" s="120">
        <v>0</v>
      </c>
      <c r="F85" s="121">
        <f t="shared" si="11"/>
        <v>0</v>
      </c>
      <c r="G85" s="120">
        <f t="shared" si="12"/>
        <v>5342784.68</v>
      </c>
      <c r="H85" s="48">
        <f t="shared" si="9"/>
        <v>2.7870088237478599</v>
      </c>
      <c r="I85" s="25">
        <f>+I84+0</f>
        <v>5197918.24</v>
      </c>
      <c r="J85" s="21"/>
    </row>
    <row r="86" spans="2:11" x14ac:dyDescent="0.35">
      <c r="B86" s="110">
        <v>28</v>
      </c>
      <c r="C86" s="77" t="s">
        <v>87</v>
      </c>
      <c r="D86" s="108">
        <v>0</v>
      </c>
      <c r="E86" s="108">
        <v>-2390</v>
      </c>
      <c r="F86" s="109">
        <f t="shared" si="11"/>
        <v>-2390</v>
      </c>
      <c r="G86" s="109">
        <f t="shared" si="12"/>
        <v>5340394.68</v>
      </c>
      <c r="H86" s="48">
        <f t="shared" si="9"/>
        <v>2.7410288777454777</v>
      </c>
      <c r="I86" s="25">
        <f>+I85+0</f>
        <v>5197918.24</v>
      </c>
      <c r="J86" s="21"/>
    </row>
    <row r="87" spans="2:11" hidden="1" x14ac:dyDescent="0.35">
      <c r="B87" s="40">
        <v>29</v>
      </c>
      <c r="C87" s="16" t="s">
        <v>27</v>
      </c>
      <c r="D87" s="23"/>
      <c r="E87" s="23"/>
      <c r="F87" s="24">
        <f t="shared" ref="F87:F100" si="13">+E87+D87</f>
        <v>0</v>
      </c>
      <c r="G87" s="23">
        <f>+G84+F87</f>
        <v>5342784.68</v>
      </c>
      <c r="H87" s="11">
        <v>0</v>
      </c>
      <c r="I87" s="25">
        <v>0</v>
      </c>
      <c r="J87" s="21"/>
    </row>
    <row r="88" spans="2:11" hidden="1" x14ac:dyDescent="0.35">
      <c r="B88" s="40">
        <v>30</v>
      </c>
      <c r="C88" s="16" t="s">
        <v>28</v>
      </c>
      <c r="D88" s="23"/>
      <c r="E88" s="23"/>
      <c r="F88" s="24">
        <f t="shared" si="13"/>
        <v>0</v>
      </c>
      <c r="G88" s="23">
        <f t="shared" ref="G88:G93" si="14">+G87+F88</f>
        <v>5342784.68</v>
      </c>
      <c r="H88" s="11">
        <v>0</v>
      </c>
      <c r="I88" s="25">
        <v>0</v>
      </c>
      <c r="J88" s="21"/>
    </row>
    <row r="89" spans="2:11" hidden="1" x14ac:dyDescent="0.35">
      <c r="B89" s="40">
        <v>31</v>
      </c>
      <c r="C89" s="16" t="s">
        <v>29</v>
      </c>
      <c r="D89" s="23"/>
      <c r="E89" s="23"/>
      <c r="F89" s="24">
        <f t="shared" si="13"/>
        <v>0</v>
      </c>
      <c r="G89" s="23">
        <f t="shared" si="14"/>
        <v>5342784.68</v>
      </c>
      <c r="H89" s="11">
        <v>0</v>
      </c>
      <c r="I89" s="25">
        <v>0</v>
      </c>
      <c r="J89" s="21"/>
    </row>
    <row r="90" spans="2:11" hidden="1" x14ac:dyDescent="0.35">
      <c r="B90" s="40">
        <v>32</v>
      </c>
      <c r="C90" s="16" t="s">
        <v>30</v>
      </c>
      <c r="D90" s="23"/>
      <c r="E90" s="23"/>
      <c r="F90" s="24">
        <f t="shared" si="13"/>
        <v>0</v>
      </c>
      <c r="G90" s="23">
        <f t="shared" si="14"/>
        <v>5342784.68</v>
      </c>
      <c r="H90" s="11">
        <v>0</v>
      </c>
      <c r="I90" s="25">
        <v>0</v>
      </c>
      <c r="J90" s="21"/>
    </row>
    <row r="91" spans="2:11" hidden="1" x14ac:dyDescent="0.35">
      <c r="B91" s="40">
        <v>33</v>
      </c>
      <c r="C91" s="16" t="s">
        <v>31</v>
      </c>
      <c r="D91" s="23"/>
      <c r="E91" s="23"/>
      <c r="F91" s="24">
        <f t="shared" si="13"/>
        <v>0</v>
      </c>
      <c r="G91" s="23">
        <f t="shared" si="14"/>
        <v>5342784.68</v>
      </c>
      <c r="H91" s="11">
        <v>0</v>
      </c>
      <c r="I91" s="25">
        <v>0</v>
      </c>
      <c r="J91" s="21"/>
    </row>
    <row r="92" spans="2:11" hidden="1" x14ac:dyDescent="0.35">
      <c r="B92" s="40">
        <v>34</v>
      </c>
      <c r="C92" s="17" t="s">
        <v>32</v>
      </c>
      <c r="D92" s="23"/>
      <c r="E92" s="23"/>
      <c r="F92" s="24">
        <f t="shared" si="13"/>
        <v>0</v>
      </c>
      <c r="G92" s="23">
        <f t="shared" si="14"/>
        <v>5342784.68</v>
      </c>
      <c r="H92" s="11">
        <v>0</v>
      </c>
      <c r="I92" s="25">
        <v>0</v>
      </c>
      <c r="J92" s="21"/>
    </row>
    <row r="93" spans="2:11" hidden="1" x14ac:dyDescent="0.35">
      <c r="B93" s="40">
        <v>35</v>
      </c>
      <c r="C93" s="27" t="s">
        <v>33</v>
      </c>
      <c r="D93" s="28"/>
      <c r="E93" s="28"/>
      <c r="F93" s="29">
        <f t="shared" si="13"/>
        <v>0</v>
      </c>
      <c r="G93" s="28">
        <f t="shared" si="14"/>
        <v>5342784.68</v>
      </c>
      <c r="H93" s="30">
        <v>0</v>
      </c>
      <c r="I93" s="31">
        <v>0</v>
      </c>
      <c r="J93" s="21"/>
    </row>
    <row r="94" spans="2:11" hidden="1" x14ac:dyDescent="0.35">
      <c r="B94" s="40">
        <v>36</v>
      </c>
      <c r="C94" s="16" t="s">
        <v>29</v>
      </c>
      <c r="D94" s="23"/>
      <c r="E94" s="23"/>
      <c r="F94" s="24">
        <f t="shared" si="13"/>
        <v>0</v>
      </c>
      <c r="G94" s="23">
        <f>+G84+F94</f>
        <v>5342784.68</v>
      </c>
      <c r="H94" s="11">
        <v>0</v>
      </c>
      <c r="I94" s="25">
        <v>0</v>
      </c>
      <c r="J94" s="21"/>
      <c r="K94" s="1"/>
    </row>
    <row r="95" spans="2:11" hidden="1" x14ac:dyDescent="0.35">
      <c r="B95" s="40">
        <v>37</v>
      </c>
      <c r="C95" s="16" t="s">
        <v>30</v>
      </c>
      <c r="D95" s="23"/>
      <c r="E95" s="23"/>
      <c r="F95" s="24">
        <f t="shared" si="13"/>
        <v>0</v>
      </c>
      <c r="G95" s="23">
        <f t="shared" ref="G95:G98" si="15">+G94+F95</f>
        <v>5342784.68</v>
      </c>
      <c r="H95" s="11">
        <v>0</v>
      </c>
      <c r="I95" s="25">
        <v>0</v>
      </c>
      <c r="J95" s="21"/>
      <c r="K95" s="1"/>
    </row>
    <row r="96" spans="2:11" hidden="1" x14ac:dyDescent="0.35">
      <c r="B96" s="40">
        <v>38</v>
      </c>
      <c r="C96" s="16" t="s">
        <v>31</v>
      </c>
      <c r="D96" s="23"/>
      <c r="E96" s="23"/>
      <c r="F96" s="24">
        <f t="shared" si="13"/>
        <v>0</v>
      </c>
      <c r="G96" s="23">
        <f t="shared" si="15"/>
        <v>5342784.68</v>
      </c>
      <c r="H96" s="11">
        <v>0</v>
      </c>
      <c r="I96" s="25">
        <v>0</v>
      </c>
      <c r="J96" s="21"/>
      <c r="K96" s="1"/>
    </row>
    <row r="97" spans="2:11" hidden="1" x14ac:dyDescent="0.35">
      <c r="B97" s="40">
        <v>39</v>
      </c>
      <c r="C97" s="17" t="s">
        <v>32</v>
      </c>
      <c r="D97" s="23"/>
      <c r="E97" s="23"/>
      <c r="F97" s="24">
        <f t="shared" si="13"/>
        <v>0</v>
      </c>
      <c r="G97" s="23">
        <f t="shared" si="15"/>
        <v>5342784.68</v>
      </c>
      <c r="H97" s="11">
        <v>0</v>
      </c>
      <c r="I97" s="25">
        <v>0</v>
      </c>
      <c r="J97" s="21"/>
      <c r="K97" s="1"/>
    </row>
    <row r="98" spans="2:11" hidden="1" x14ac:dyDescent="0.35">
      <c r="B98" s="40">
        <v>40</v>
      </c>
      <c r="C98" s="27" t="s">
        <v>33</v>
      </c>
      <c r="D98" s="28"/>
      <c r="E98" s="28"/>
      <c r="F98" s="29">
        <f t="shared" si="13"/>
        <v>0</v>
      </c>
      <c r="G98" s="28">
        <f t="shared" si="15"/>
        <v>5342784.68</v>
      </c>
      <c r="H98" s="30">
        <v>0</v>
      </c>
      <c r="I98" s="31">
        <v>0</v>
      </c>
      <c r="J98" s="21"/>
      <c r="K98" s="1"/>
    </row>
    <row r="99" spans="2:11" hidden="1" x14ac:dyDescent="0.35">
      <c r="B99" s="40">
        <v>41</v>
      </c>
      <c r="C99" s="17" t="s">
        <v>32</v>
      </c>
      <c r="D99" s="23"/>
      <c r="E99" s="23"/>
      <c r="F99" s="24">
        <f t="shared" si="13"/>
        <v>0</v>
      </c>
      <c r="G99" s="23">
        <f>+G82+F99</f>
        <v>5342584.18</v>
      </c>
      <c r="H99" s="11">
        <v>0</v>
      </c>
      <c r="I99" s="25">
        <v>0</v>
      </c>
      <c r="J99" s="21"/>
    </row>
    <row r="100" spans="2:11" hidden="1" x14ac:dyDescent="0.35">
      <c r="B100" s="40">
        <v>42</v>
      </c>
      <c r="C100" s="27" t="s">
        <v>33</v>
      </c>
      <c r="D100" s="28"/>
      <c r="E100" s="28"/>
      <c r="F100" s="29">
        <f t="shared" si="13"/>
        <v>0</v>
      </c>
      <c r="G100" s="28">
        <f t="shared" ref="G100" si="16">+G99+F100</f>
        <v>5342584.18</v>
      </c>
      <c r="H100" s="30">
        <v>0</v>
      </c>
      <c r="I100" s="31">
        <v>0</v>
      </c>
      <c r="J100" s="21"/>
    </row>
    <row r="101" spans="2:11" x14ac:dyDescent="0.35">
      <c r="B101" s="5"/>
      <c r="C101" s="5"/>
      <c r="D101" s="6"/>
      <c r="E101" s="6"/>
      <c r="F101" s="6"/>
      <c r="G101" s="6"/>
      <c r="H101" s="7"/>
      <c r="I101" s="6"/>
      <c r="J101" s="5"/>
    </row>
    <row r="102" spans="2:11" x14ac:dyDescent="0.35">
      <c r="B102" s="8" t="s">
        <v>34</v>
      </c>
      <c r="C102" s="5"/>
      <c r="D102" s="5"/>
      <c r="E102" s="5"/>
      <c r="F102" s="5"/>
      <c r="G102" s="5"/>
      <c r="H102" s="5"/>
      <c r="I102" s="5"/>
      <c r="J102" s="5"/>
    </row>
    <row r="103" spans="2:11" x14ac:dyDescent="0.35">
      <c r="B103" s="9" t="s">
        <v>35</v>
      </c>
      <c r="C103" s="5"/>
      <c r="D103" s="5"/>
      <c r="E103" s="5"/>
      <c r="F103" s="5"/>
      <c r="G103" s="5"/>
      <c r="H103" s="5"/>
      <c r="I103" s="5"/>
      <c r="J103" s="5"/>
    </row>
    <row r="104" spans="2:11" x14ac:dyDescent="0.35">
      <c r="B104" s="9" t="s">
        <v>36</v>
      </c>
      <c r="C104" s="5"/>
      <c r="D104" s="5"/>
      <c r="E104" s="5"/>
      <c r="F104" s="5"/>
      <c r="G104" s="5"/>
      <c r="H104" s="5"/>
      <c r="I104" s="5"/>
      <c r="J104" s="5"/>
    </row>
    <row r="105" spans="2:11" x14ac:dyDescent="0.35">
      <c r="B105" s="9" t="s">
        <v>37</v>
      </c>
      <c r="C105" s="5"/>
      <c r="D105" s="5"/>
      <c r="E105" s="5"/>
      <c r="F105" s="5"/>
      <c r="G105" s="5"/>
      <c r="H105" s="5"/>
      <c r="I105" s="5"/>
      <c r="J105" s="5"/>
    </row>
    <row r="106" spans="2:11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1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1" ht="18.5" x14ac:dyDescent="0.45">
      <c r="B108" s="10"/>
      <c r="C108" s="10"/>
      <c r="D108" s="178" t="s">
        <v>40</v>
      </c>
      <c r="E108" s="178"/>
      <c r="F108" s="178"/>
      <c r="G108" s="178"/>
      <c r="H108" s="178"/>
      <c r="I108" s="178"/>
      <c r="J108" s="10"/>
    </row>
    <row r="109" spans="2:11" s="35" customFormat="1" ht="16" x14ac:dyDescent="0.4">
      <c r="B109" s="26"/>
      <c r="C109" s="26"/>
      <c r="D109" s="179" t="s">
        <v>43</v>
      </c>
      <c r="E109" s="179"/>
      <c r="F109" s="179"/>
      <c r="G109" s="179"/>
      <c r="H109" s="179"/>
      <c r="I109" s="179"/>
      <c r="J109" s="26"/>
    </row>
    <row r="110" spans="2:11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1" ht="14.4" customHeight="1" x14ac:dyDescent="0.35">
      <c r="B111" s="14"/>
      <c r="C111" s="15"/>
      <c r="D111" s="174" t="s">
        <v>6</v>
      </c>
      <c r="E111" s="175"/>
      <c r="F111" s="175"/>
      <c r="G111" s="176"/>
      <c r="H111" s="166" t="s">
        <v>7</v>
      </c>
      <c r="I111" s="167"/>
      <c r="J111" s="4"/>
    </row>
    <row r="112" spans="2:11" x14ac:dyDescent="0.35">
      <c r="B112" s="12"/>
      <c r="C112" s="13"/>
      <c r="D112" s="170" t="s">
        <v>9</v>
      </c>
      <c r="E112" s="171"/>
      <c r="F112" s="171"/>
      <c r="G112" s="172"/>
      <c r="H112" s="168"/>
      <c r="I112" s="169"/>
      <c r="J112" s="4"/>
    </row>
    <row r="113" spans="2:10" ht="14.4" customHeight="1" x14ac:dyDescent="0.35">
      <c r="B113" s="133" t="s">
        <v>10</v>
      </c>
      <c r="C113" s="135" t="s">
        <v>11</v>
      </c>
      <c r="D113" s="18" t="s">
        <v>12</v>
      </c>
      <c r="E113" s="18" t="s">
        <v>13</v>
      </c>
      <c r="F113" s="18" t="s">
        <v>14</v>
      </c>
      <c r="G113" s="18" t="s">
        <v>15</v>
      </c>
      <c r="H113" s="161" t="s">
        <v>16</v>
      </c>
      <c r="I113" s="135" t="s">
        <v>17</v>
      </c>
      <c r="J113" s="19"/>
    </row>
    <row r="114" spans="2:10" ht="39" customHeight="1" x14ac:dyDescent="0.35">
      <c r="B114" s="134"/>
      <c r="C114" s="136"/>
      <c r="D114" s="163" t="s">
        <v>20</v>
      </c>
      <c r="E114" s="164"/>
      <c r="F114" s="164"/>
      <c r="G114" s="165"/>
      <c r="H114" s="162"/>
      <c r="I114" s="136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e">
        <f t="shared" ref="H115:H139" si="17">((G115-I115)/I115)*100</f>
        <v>#DIV/0!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108465.11</v>
      </c>
      <c r="E116" s="25">
        <v>0</v>
      </c>
      <c r="F116" s="47">
        <f>+E116+D116</f>
        <v>108465.11</v>
      </c>
      <c r="G116" s="25">
        <f>+G115+F116</f>
        <v>108465.11</v>
      </c>
      <c r="H116" s="48">
        <f t="shared" si="17"/>
        <v>417.09049944603464</v>
      </c>
      <c r="I116" s="25">
        <v>20976.04</v>
      </c>
      <c r="J116" s="21"/>
    </row>
    <row r="117" spans="2:10" x14ac:dyDescent="0.35">
      <c r="B117" s="40">
        <v>6</v>
      </c>
      <c r="C117" s="38" t="s">
        <v>23</v>
      </c>
      <c r="D117" s="25">
        <v>47860.06</v>
      </c>
      <c r="E117" s="25">
        <v>0</v>
      </c>
      <c r="F117" s="47">
        <f>+E117+D117</f>
        <v>47860.06</v>
      </c>
      <c r="G117" s="25">
        <f t="shared" ref="G117" si="18">+G116+F117</f>
        <v>156325.16999999998</v>
      </c>
      <c r="H117" s="48">
        <f t="shared" si="17"/>
        <v>420.20735061421487</v>
      </c>
      <c r="I117" s="25">
        <f>+I116+9074.51</f>
        <v>30050.550000000003</v>
      </c>
      <c r="J117" s="21"/>
    </row>
    <row r="118" spans="2:10" x14ac:dyDescent="0.35">
      <c r="B118" s="40">
        <v>7</v>
      </c>
      <c r="C118" s="38" t="s">
        <v>24</v>
      </c>
      <c r="D118" s="25">
        <v>62863.09</v>
      </c>
      <c r="E118" s="25">
        <v>12264</v>
      </c>
      <c r="F118" s="47">
        <f t="shared" ref="F118:F139" si="19">+E118+D118</f>
        <v>75127.09</v>
      </c>
      <c r="G118" s="25">
        <f>+G117+F118</f>
        <v>231452.25999999998</v>
      </c>
      <c r="H118" s="48">
        <f t="shared" si="17"/>
        <v>438.93699702906446</v>
      </c>
      <c r="I118" s="25">
        <f>+I117+12895.52</f>
        <v>42946.070000000007</v>
      </c>
      <c r="J118" s="21"/>
    </row>
    <row r="119" spans="2:10" x14ac:dyDescent="0.35">
      <c r="B119" s="40">
        <v>8</v>
      </c>
      <c r="C119" s="38" t="s">
        <v>25</v>
      </c>
      <c r="D119" s="25">
        <v>59478.51</v>
      </c>
      <c r="E119" s="25">
        <v>0</v>
      </c>
      <c r="F119" s="47">
        <f t="shared" si="19"/>
        <v>59478.51</v>
      </c>
      <c r="G119" s="25">
        <f t="shared" ref="G119:G137" si="20">+G118+F119</f>
        <v>290930.76999999996</v>
      </c>
      <c r="H119" s="48">
        <f t="shared" si="17"/>
        <v>135.06026044249188</v>
      </c>
      <c r="I119" s="25">
        <v>123768.59</v>
      </c>
      <c r="J119" s="21"/>
    </row>
    <row r="120" spans="2:10" x14ac:dyDescent="0.35">
      <c r="B120" s="40">
        <v>9</v>
      </c>
      <c r="C120" s="38" t="s">
        <v>26</v>
      </c>
      <c r="D120" s="25">
        <v>163305.13</v>
      </c>
      <c r="E120" s="25">
        <v>0</v>
      </c>
      <c r="F120" s="47">
        <f t="shared" si="19"/>
        <v>163305.13</v>
      </c>
      <c r="G120" s="25">
        <f t="shared" si="20"/>
        <v>454235.89999999997</v>
      </c>
      <c r="H120" s="48">
        <f t="shared" si="17"/>
        <v>190.41064028567189</v>
      </c>
      <c r="I120" s="25">
        <f>+I119+32643</f>
        <v>156411.59</v>
      </c>
      <c r="J120" s="21"/>
    </row>
    <row r="121" spans="2:10" x14ac:dyDescent="0.35">
      <c r="B121" s="40">
        <v>10</v>
      </c>
      <c r="C121" s="38" t="s">
        <v>62</v>
      </c>
      <c r="D121" s="25">
        <v>83454.539999999994</v>
      </c>
      <c r="E121" s="25">
        <v>0</v>
      </c>
      <c r="F121" s="47">
        <f t="shared" si="19"/>
        <v>83454.539999999994</v>
      </c>
      <c r="G121" s="25">
        <f t="shared" si="20"/>
        <v>537690.43999999994</v>
      </c>
      <c r="H121" s="48">
        <f t="shared" si="17"/>
        <v>80.388154437013526</v>
      </c>
      <c r="I121" s="25">
        <f>+I120+141662.55</f>
        <v>298074.14</v>
      </c>
      <c r="J121" s="21"/>
    </row>
    <row r="122" spans="2:10" x14ac:dyDescent="0.35">
      <c r="B122" s="40">
        <v>11</v>
      </c>
      <c r="C122" s="38" t="s">
        <v>63</v>
      </c>
      <c r="D122" s="25">
        <v>276516.57</v>
      </c>
      <c r="E122" s="25">
        <v>0</v>
      </c>
      <c r="F122" s="47">
        <f t="shared" si="19"/>
        <v>276516.57</v>
      </c>
      <c r="G122" s="25">
        <f t="shared" si="20"/>
        <v>814207.01</v>
      </c>
      <c r="H122" s="48">
        <f t="shared" si="17"/>
        <v>118.28597387963515</v>
      </c>
      <c r="I122" s="25">
        <f>+I121+74926.01</f>
        <v>373000.15</v>
      </c>
      <c r="J122" s="21"/>
    </row>
    <row r="123" spans="2:10" x14ac:dyDescent="0.35">
      <c r="B123" s="40">
        <v>12</v>
      </c>
      <c r="C123" s="38" t="s">
        <v>78</v>
      </c>
      <c r="D123" s="25">
        <v>379700.13</v>
      </c>
      <c r="E123" s="25">
        <v>0</v>
      </c>
      <c r="F123" s="47">
        <f t="shared" si="19"/>
        <v>379700.13</v>
      </c>
      <c r="G123" s="25">
        <f t="shared" si="20"/>
        <v>1193907.1400000001</v>
      </c>
      <c r="H123" s="48">
        <f t="shared" si="17"/>
        <v>122.71388613055379</v>
      </c>
      <c r="I123" s="25">
        <f>+I122+163072.01</f>
        <v>536072.16</v>
      </c>
      <c r="J123" s="21"/>
    </row>
    <row r="124" spans="2:10" x14ac:dyDescent="0.35">
      <c r="B124" s="40">
        <v>13</v>
      </c>
      <c r="C124" s="38" t="s">
        <v>64</v>
      </c>
      <c r="D124" s="25">
        <v>341276.63</v>
      </c>
      <c r="E124" s="25">
        <v>0</v>
      </c>
      <c r="F124" s="47">
        <f t="shared" si="19"/>
        <v>341276.63</v>
      </c>
      <c r="G124" s="25">
        <f t="shared" si="20"/>
        <v>1535183.77</v>
      </c>
      <c r="H124" s="48">
        <f t="shared" si="17"/>
        <v>167.26531747902143</v>
      </c>
      <c r="I124" s="25">
        <v>574404.41</v>
      </c>
      <c r="J124" s="21"/>
    </row>
    <row r="125" spans="2:10" x14ac:dyDescent="0.35">
      <c r="B125" s="40">
        <v>14</v>
      </c>
      <c r="C125" s="58" t="s">
        <v>65</v>
      </c>
      <c r="D125" s="25">
        <v>56280.05</v>
      </c>
      <c r="E125" s="25">
        <v>0</v>
      </c>
      <c r="F125" s="47">
        <f t="shared" si="19"/>
        <v>56280.05</v>
      </c>
      <c r="G125" s="25">
        <f t="shared" si="20"/>
        <v>1591463.82</v>
      </c>
      <c r="H125" s="48">
        <f t="shared" si="17"/>
        <v>167.01879497676481</v>
      </c>
      <c r="I125" s="25">
        <f>+I124+21607.5</f>
        <v>596011.91</v>
      </c>
      <c r="J125" s="21"/>
    </row>
    <row r="126" spans="2:10" x14ac:dyDescent="0.35">
      <c r="B126" s="40">
        <v>15</v>
      </c>
      <c r="C126" s="38" t="s">
        <v>66</v>
      </c>
      <c r="D126" s="25">
        <v>219299.5</v>
      </c>
      <c r="E126" s="25">
        <v>0</v>
      </c>
      <c r="F126" s="47">
        <f t="shared" si="19"/>
        <v>219299.5</v>
      </c>
      <c r="G126" s="25">
        <f t="shared" si="20"/>
        <v>1810763.32</v>
      </c>
      <c r="H126" s="48">
        <f t="shared" si="17"/>
        <v>145.95379875920938</v>
      </c>
      <c r="I126" s="25">
        <f>+I125+140209.01</f>
        <v>736220.92</v>
      </c>
      <c r="J126" s="21"/>
    </row>
    <row r="127" spans="2:10" x14ac:dyDescent="0.35">
      <c r="B127" s="40">
        <v>16</v>
      </c>
      <c r="C127" s="38" t="s">
        <v>67</v>
      </c>
      <c r="D127" s="25">
        <v>308970.07</v>
      </c>
      <c r="E127" s="25">
        <v>0</v>
      </c>
      <c r="F127" s="47">
        <f t="shared" si="19"/>
        <v>308970.07</v>
      </c>
      <c r="G127" s="25">
        <f t="shared" si="20"/>
        <v>2119733.39</v>
      </c>
      <c r="H127" s="48">
        <f t="shared" si="17"/>
        <v>178.30206327985334</v>
      </c>
      <c r="I127" s="25">
        <v>761666.43</v>
      </c>
      <c r="J127" s="21"/>
    </row>
    <row r="128" spans="2:10" x14ac:dyDescent="0.35">
      <c r="B128" s="40">
        <v>17</v>
      </c>
      <c r="C128" s="38" t="s">
        <v>68</v>
      </c>
      <c r="D128" s="25">
        <v>156188.07999999999</v>
      </c>
      <c r="E128" s="25">
        <v>0</v>
      </c>
      <c r="F128" s="47">
        <f t="shared" si="19"/>
        <v>156188.07999999999</v>
      </c>
      <c r="G128" s="25">
        <f t="shared" si="20"/>
        <v>2275921.4700000002</v>
      </c>
      <c r="H128" s="48">
        <f t="shared" si="17"/>
        <v>141.12378217693896</v>
      </c>
      <c r="I128" s="25">
        <v>943880.96</v>
      </c>
      <c r="J128" s="21"/>
    </row>
    <row r="129" spans="2:11" x14ac:dyDescent="0.35">
      <c r="B129" s="40">
        <v>18</v>
      </c>
      <c r="C129" s="38" t="s">
        <v>69</v>
      </c>
      <c r="D129" s="25">
        <v>76257.02</v>
      </c>
      <c r="E129" s="25">
        <v>0</v>
      </c>
      <c r="F129" s="47">
        <f t="shared" si="19"/>
        <v>76257.02</v>
      </c>
      <c r="G129" s="25">
        <f t="shared" si="20"/>
        <v>2352178.4900000002</v>
      </c>
      <c r="H129" s="48">
        <f t="shared" si="17"/>
        <v>132.13636182899194</v>
      </c>
      <c r="I129" s="25">
        <f>+I128+69393.51</f>
        <v>1013274.47</v>
      </c>
      <c r="J129" s="21"/>
    </row>
    <row r="130" spans="2:11" x14ac:dyDescent="0.35">
      <c r="B130" s="40">
        <v>19</v>
      </c>
      <c r="C130" s="38" t="s">
        <v>70</v>
      </c>
      <c r="D130" s="25">
        <v>19293</v>
      </c>
      <c r="E130" s="25">
        <v>0</v>
      </c>
      <c r="F130" s="47">
        <f t="shared" si="19"/>
        <v>19293</v>
      </c>
      <c r="G130" s="25">
        <f t="shared" si="20"/>
        <v>2371471.4900000002</v>
      </c>
      <c r="H130" s="48">
        <f t="shared" si="17"/>
        <v>131.10851912592901</v>
      </c>
      <c r="I130" s="25">
        <f>+I129+12854.51</f>
        <v>1026128.98</v>
      </c>
      <c r="J130" s="21"/>
    </row>
    <row r="131" spans="2:11" x14ac:dyDescent="0.35">
      <c r="B131" s="40">
        <v>20</v>
      </c>
      <c r="C131" s="38" t="s">
        <v>71</v>
      </c>
      <c r="D131" s="25">
        <v>0</v>
      </c>
      <c r="E131" s="25">
        <v>0</v>
      </c>
      <c r="F131" s="47">
        <f t="shared" si="19"/>
        <v>0</v>
      </c>
      <c r="G131" s="25">
        <f t="shared" si="20"/>
        <v>2371471.4900000002</v>
      </c>
      <c r="H131" s="48">
        <f t="shared" si="17"/>
        <v>128.88906500158899</v>
      </c>
      <c r="I131" s="25">
        <f>+I130+9950</f>
        <v>1036078.98</v>
      </c>
      <c r="J131" s="21"/>
    </row>
    <row r="132" spans="2:11" x14ac:dyDescent="0.35">
      <c r="B132" s="40">
        <v>21</v>
      </c>
      <c r="C132" s="38" t="s">
        <v>72</v>
      </c>
      <c r="D132" s="25">
        <v>971.5</v>
      </c>
      <c r="E132" s="25">
        <v>0</v>
      </c>
      <c r="F132" s="47">
        <f t="shared" si="19"/>
        <v>971.5</v>
      </c>
      <c r="G132" s="25">
        <f t="shared" si="20"/>
        <v>2372442.9900000002</v>
      </c>
      <c r="H132" s="48">
        <f t="shared" si="17"/>
        <v>128.78233148115322</v>
      </c>
      <c r="I132" s="25">
        <f>+I131+908</f>
        <v>1036986.98</v>
      </c>
      <c r="J132" s="21"/>
    </row>
    <row r="133" spans="2:11" x14ac:dyDescent="0.35">
      <c r="B133" s="40">
        <v>22</v>
      </c>
      <c r="C133" s="38" t="s">
        <v>73</v>
      </c>
      <c r="D133" s="25">
        <v>56592.5</v>
      </c>
      <c r="E133" s="25">
        <v>0</v>
      </c>
      <c r="F133" s="47">
        <f t="shared" si="19"/>
        <v>56592.5</v>
      </c>
      <c r="G133" s="25">
        <f t="shared" si="20"/>
        <v>2429035.4900000002</v>
      </c>
      <c r="H133" s="48">
        <f t="shared" si="17"/>
        <v>134.23972883439677</v>
      </c>
      <c r="I133" s="25">
        <f t="shared" ref="I133:I138" si="21">+I132+0</f>
        <v>1036986.98</v>
      </c>
      <c r="J133" s="21"/>
    </row>
    <row r="134" spans="2:11" x14ac:dyDescent="0.35">
      <c r="B134" s="40">
        <v>23</v>
      </c>
      <c r="C134" s="38" t="s">
        <v>80</v>
      </c>
      <c r="D134" s="25">
        <v>0</v>
      </c>
      <c r="E134" s="25">
        <v>0</v>
      </c>
      <c r="F134" s="47">
        <f t="shared" si="19"/>
        <v>0</v>
      </c>
      <c r="G134" s="25">
        <f t="shared" si="20"/>
        <v>2429035.4900000002</v>
      </c>
      <c r="H134" s="48">
        <f t="shared" si="17"/>
        <v>134.23972883439677</v>
      </c>
      <c r="I134" s="25">
        <f t="shared" si="21"/>
        <v>1036986.98</v>
      </c>
      <c r="J134" s="21"/>
    </row>
    <row r="135" spans="2:11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19"/>
        <v>0</v>
      </c>
      <c r="G135" s="25">
        <f t="shared" si="20"/>
        <v>2429035.4900000002</v>
      </c>
      <c r="H135" s="48">
        <f t="shared" si="17"/>
        <v>134.23972883439677</v>
      </c>
      <c r="I135" s="25">
        <f t="shared" si="21"/>
        <v>1036986.98</v>
      </c>
      <c r="J135" s="21"/>
    </row>
    <row r="136" spans="2:11" x14ac:dyDescent="0.35">
      <c r="B136" s="40">
        <v>25</v>
      </c>
      <c r="C136" s="77" t="s">
        <v>84</v>
      </c>
      <c r="D136" s="25">
        <v>0</v>
      </c>
      <c r="E136" s="25">
        <v>0</v>
      </c>
      <c r="F136" s="47">
        <f t="shared" si="19"/>
        <v>0</v>
      </c>
      <c r="G136" s="25">
        <f t="shared" si="20"/>
        <v>2429035.4900000002</v>
      </c>
      <c r="H136" s="48">
        <f t="shared" si="17"/>
        <v>134.23972883439677</v>
      </c>
      <c r="I136" s="25">
        <f t="shared" si="21"/>
        <v>1036986.98</v>
      </c>
      <c r="J136" s="21"/>
    </row>
    <row r="137" spans="2:11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19"/>
        <v>0</v>
      </c>
      <c r="G137" s="106">
        <f t="shared" si="20"/>
        <v>2429035.4900000002</v>
      </c>
      <c r="H137" s="48">
        <f t="shared" si="17"/>
        <v>134.23972883439677</v>
      </c>
      <c r="I137" s="25">
        <f t="shared" si="21"/>
        <v>1036986.98</v>
      </c>
      <c r="J137" s="21"/>
      <c r="K137" s="1"/>
    </row>
    <row r="138" spans="2:11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19"/>
        <v>0</v>
      </c>
      <c r="G138" s="120">
        <f>+G137+F138</f>
        <v>2429035.4900000002</v>
      </c>
      <c r="H138" s="48">
        <f t="shared" si="17"/>
        <v>134.23972883439677</v>
      </c>
      <c r="I138" s="25">
        <f t="shared" si="21"/>
        <v>1036986.98</v>
      </c>
      <c r="J138" s="21"/>
    </row>
    <row r="139" spans="2:11" x14ac:dyDescent="0.35">
      <c r="B139" s="110">
        <v>28</v>
      </c>
      <c r="C139" s="77" t="s">
        <v>87</v>
      </c>
      <c r="D139" s="108">
        <v>0</v>
      </c>
      <c r="E139" s="108">
        <v>6779</v>
      </c>
      <c r="F139" s="109">
        <f t="shared" si="19"/>
        <v>6779</v>
      </c>
      <c r="G139" s="109">
        <f t="shared" ref="G139" si="22">+G138+F139</f>
        <v>2435814.4900000002</v>
      </c>
      <c r="H139" s="48">
        <f t="shared" si="17"/>
        <v>134.89344967474906</v>
      </c>
      <c r="I139" s="25">
        <f>+I138+0</f>
        <v>1036986.98</v>
      </c>
      <c r="J139" s="21"/>
    </row>
    <row r="140" spans="2:11" hidden="1" x14ac:dyDescent="0.35">
      <c r="B140" s="40">
        <v>29</v>
      </c>
      <c r="C140" s="16" t="s">
        <v>27</v>
      </c>
      <c r="D140" s="23"/>
      <c r="E140" s="23"/>
      <c r="F140" s="24">
        <f t="shared" ref="F140:F153" si="23">+E140+D140</f>
        <v>0</v>
      </c>
      <c r="G140" s="23">
        <f>+G137+F140</f>
        <v>2429035.4900000002</v>
      </c>
      <c r="H140" s="11">
        <v>0</v>
      </c>
      <c r="I140" s="25">
        <v>0</v>
      </c>
      <c r="J140" s="21"/>
    </row>
    <row r="141" spans="2:11" hidden="1" x14ac:dyDescent="0.35">
      <c r="B141" s="40">
        <v>30</v>
      </c>
      <c r="C141" s="16" t="s">
        <v>28</v>
      </c>
      <c r="D141" s="23"/>
      <c r="E141" s="23"/>
      <c r="F141" s="24">
        <f t="shared" si="23"/>
        <v>0</v>
      </c>
      <c r="G141" s="23">
        <f t="shared" ref="G141:G146" si="24">+G140+F141</f>
        <v>2429035.4900000002</v>
      </c>
      <c r="H141" s="11">
        <v>0</v>
      </c>
      <c r="I141" s="25">
        <v>0</v>
      </c>
      <c r="J141" s="21"/>
    </row>
    <row r="142" spans="2:11" hidden="1" x14ac:dyDescent="0.35">
      <c r="B142" s="40">
        <v>31</v>
      </c>
      <c r="C142" s="16" t="s">
        <v>29</v>
      </c>
      <c r="D142" s="23"/>
      <c r="E142" s="23"/>
      <c r="F142" s="24">
        <f t="shared" si="23"/>
        <v>0</v>
      </c>
      <c r="G142" s="23">
        <f t="shared" si="24"/>
        <v>2429035.4900000002</v>
      </c>
      <c r="H142" s="11">
        <v>0</v>
      </c>
      <c r="I142" s="25">
        <v>0</v>
      </c>
      <c r="J142" s="21"/>
    </row>
    <row r="143" spans="2:11" hidden="1" x14ac:dyDescent="0.35">
      <c r="B143" s="40">
        <v>32</v>
      </c>
      <c r="C143" s="16" t="s">
        <v>30</v>
      </c>
      <c r="D143" s="23"/>
      <c r="E143" s="23"/>
      <c r="F143" s="24">
        <f t="shared" si="23"/>
        <v>0</v>
      </c>
      <c r="G143" s="23">
        <f t="shared" si="24"/>
        <v>2429035.4900000002</v>
      </c>
      <c r="H143" s="11">
        <v>0</v>
      </c>
      <c r="I143" s="25">
        <v>0</v>
      </c>
      <c r="J143" s="21"/>
    </row>
    <row r="144" spans="2:11" hidden="1" x14ac:dyDescent="0.35">
      <c r="B144" s="40">
        <v>33</v>
      </c>
      <c r="C144" s="16" t="s">
        <v>31</v>
      </c>
      <c r="D144" s="23"/>
      <c r="E144" s="23"/>
      <c r="F144" s="24">
        <f t="shared" si="23"/>
        <v>0</v>
      </c>
      <c r="G144" s="23">
        <f t="shared" si="24"/>
        <v>2429035.4900000002</v>
      </c>
      <c r="H144" s="11">
        <v>0</v>
      </c>
      <c r="I144" s="25">
        <v>0</v>
      </c>
      <c r="J144" s="21"/>
    </row>
    <row r="145" spans="2:11" hidden="1" x14ac:dyDescent="0.35">
      <c r="B145" s="40">
        <v>34</v>
      </c>
      <c r="C145" s="17" t="s">
        <v>32</v>
      </c>
      <c r="D145" s="23"/>
      <c r="E145" s="23"/>
      <c r="F145" s="24">
        <f t="shared" si="23"/>
        <v>0</v>
      </c>
      <c r="G145" s="23">
        <f t="shared" si="24"/>
        <v>2429035.4900000002</v>
      </c>
      <c r="H145" s="11">
        <v>0</v>
      </c>
      <c r="I145" s="25">
        <v>0</v>
      </c>
      <c r="J145" s="21"/>
    </row>
    <row r="146" spans="2:11" hidden="1" x14ac:dyDescent="0.35">
      <c r="B146" s="40">
        <v>35</v>
      </c>
      <c r="C146" s="27" t="s">
        <v>33</v>
      </c>
      <c r="D146" s="28"/>
      <c r="E146" s="28"/>
      <c r="F146" s="29">
        <f t="shared" si="23"/>
        <v>0</v>
      </c>
      <c r="G146" s="28">
        <f t="shared" si="24"/>
        <v>2429035.4900000002</v>
      </c>
      <c r="H146" s="30">
        <v>0</v>
      </c>
      <c r="I146" s="31">
        <v>0</v>
      </c>
      <c r="J146" s="21"/>
    </row>
    <row r="147" spans="2:11" hidden="1" x14ac:dyDescent="0.35">
      <c r="B147" s="40">
        <v>36</v>
      </c>
      <c r="C147" s="16" t="s">
        <v>29</v>
      </c>
      <c r="D147" s="23"/>
      <c r="E147" s="23"/>
      <c r="F147" s="24">
        <f t="shared" si="23"/>
        <v>0</v>
      </c>
      <c r="G147" s="23">
        <f>+G137+F147</f>
        <v>2429035.4900000002</v>
      </c>
      <c r="H147" s="11">
        <v>0</v>
      </c>
      <c r="I147" s="25">
        <v>0</v>
      </c>
      <c r="J147" s="21"/>
      <c r="K147" s="1"/>
    </row>
    <row r="148" spans="2:11" hidden="1" x14ac:dyDescent="0.35">
      <c r="B148" s="40">
        <v>37</v>
      </c>
      <c r="C148" s="16" t="s">
        <v>30</v>
      </c>
      <c r="D148" s="23"/>
      <c r="E148" s="23"/>
      <c r="F148" s="24">
        <f t="shared" si="23"/>
        <v>0</v>
      </c>
      <c r="G148" s="23">
        <f t="shared" ref="G148:G151" si="25">+G147+F148</f>
        <v>2429035.4900000002</v>
      </c>
      <c r="H148" s="11">
        <v>0</v>
      </c>
      <c r="I148" s="25">
        <v>0</v>
      </c>
      <c r="J148" s="21"/>
      <c r="K148" s="1"/>
    </row>
    <row r="149" spans="2:11" hidden="1" x14ac:dyDescent="0.35">
      <c r="B149" s="40">
        <v>38</v>
      </c>
      <c r="C149" s="16" t="s">
        <v>31</v>
      </c>
      <c r="D149" s="23"/>
      <c r="E149" s="23"/>
      <c r="F149" s="24">
        <f t="shared" si="23"/>
        <v>0</v>
      </c>
      <c r="G149" s="23">
        <f t="shared" si="25"/>
        <v>2429035.4900000002</v>
      </c>
      <c r="H149" s="11">
        <v>0</v>
      </c>
      <c r="I149" s="25">
        <v>0</v>
      </c>
      <c r="J149" s="21"/>
      <c r="K149" s="1"/>
    </row>
    <row r="150" spans="2:11" hidden="1" x14ac:dyDescent="0.35">
      <c r="B150" s="40">
        <v>39</v>
      </c>
      <c r="C150" s="17" t="s">
        <v>32</v>
      </c>
      <c r="D150" s="23"/>
      <c r="E150" s="23"/>
      <c r="F150" s="24">
        <f t="shared" si="23"/>
        <v>0</v>
      </c>
      <c r="G150" s="23">
        <f t="shared" si="25"/>
        <v>2429035.4900000002</v>
      </c>
      <c r="H150" s="11">
        <v>0</v>
      </c>
      <c r="I150" s="25">
        <v>0</v>
      </c>
      <c r="J150" s="21"/>
      <c r="K150" s="1"/>
    </row>
    <row r="151" spans="2:11" hidden="1" x14ac:dyDescent="0.35">
      <c r="B151" s="40">
        <v>40</v>
      </c>
      <c r="C151" s="27" t="s">
        <v>33</v>
      </c>
      <c r="D151" s="28"/>
      <c r="E151" s="28"/>
      <c r="F151" s="29">
        <f t="shared" si="23"/>
        <v>0</v>
      </c>
      <c r="G151" s="28">
        <f t="shared" si="25"/>
        <v>2429035.4900000002</v>
      </c>
      <c r="H151" s="30">
        <v>0</v>
      </c>
      <c r="I151" s="31">
        <v>0</v>
      </c>
      <c r="J151" s="21"/>
      <c r="K151" s="1"/>
    </row>
    <row r="152" spans="2:11" hidden="1" x14ac:dyDescent="0.35">
      <c r="B152" s="40">
        <v>41</v>
      </c>
      <c r="C152" s="17" t="s">
        <v>32</v>
      </c>
      <c r="D152" s="23"/>
      <c r="E152" s="23"/>
      <c r="F152" s="24">
        <f t="shared" si="23"/>
        <v>0</v>
      </c>
      <c r="G152" s="23">
        <f>+G135+F152</f>
        <v>2429035.4900000002</v>
      </c>
      <c r="H152" s="48" t="e">
        <f t="shared" ref="H152:H153" si="26">((G152-I152)/I152)*100</f>
        <v>#DIV/0!</v>
      </c>
      <c r="I152" s="25">
        <v>0</v>
      </c>
      <c r="J152" s="21"/>
    </row>
    <row r="153" spans="2:11" hidden="1" x14ac:dyDescent="0.35">
      <c r="B153" s="40">
        <v>42</v>
      </c>
      <c r="C153" s="27" t="s">
        <v>33</v>
      </c>
      <c r="D153" s="28"/>
      <c r="E153" s="28"/>
      <c r="F153" s="29">
        <f t="shared" si="23"/>
        <v>0</v>
      </c>
      <c r="G153" s="28">
        <f t="shared" ref="G153" si="27">+G152+F153</f>
        <v>2429035.4900000002</v>
      </c>
      <c r="H153" s="48" t="e">
        <f t="shared" si="26"/>
        <v>#DIV/0!</v>
      </c>
      <c r="I153" s="31">
        <v>0</v>
      </c>
      <c r="J153" s="21"/>
    </row>
    <row r="154" spans="2:11" x14ac:dyDescent="0.35">
      <c r="B154" s="5"/>
      <c r="C154" s="5"/>
      <c r="D154" s="6"/>
      <c r="E154" s="6"/>
      <c r="F154" s="6"/>
      <c r="G154" s="6"/>
      <c r="H154" s="7"/>
      <c r="I154" s="6"/>
      <c r="J154" s="5"/>
    </row>
    <row r="155" spans="2:11" x14ac:dyDescent="0.35">
      <c r="B155" s="8" t="s">
        <v>34</v>
      </c>
      <c r="C155" s="5"/>
      <c r="D155" s="5"/>
      <c r="E155" s="5"/>
      <c r="F155" s="5"/>
      <c r="G155" s="5"/>
      <c r="H155" s="5"/>
      <c r="I155" s="5"/>
      <c r="J155" s="5"/>
    </row>
    <row r="156" spans="2:11" x14ac:dyDescent="0.35">
      <c r="B156" s="9" t="s">
        <v>35</v>
      </c>
      <c r="C156" s="5"/>
      <c r="D156" s="5"/>
      <c r="E156" s="5"/>
      <c r="F156" s="5"/>
      <c r="G156" s="5"/>
      <c r="H156" s="5"/>
      <c r="I156" s="5"/>
      <c r="J156" s="5"/>
    </row>
    <row r="157" spans="2:11" x14ac:dyDescent="0.35">
      <c r="B157" s="9" t="s">
        <v>36</v>
      </c>
      <c r="C157" s="5"/>
      <c r="D157" s="5"/>
      <c r="E157" s="5"/>
      <c r="F157" s="5"/>
      <c r="G157" s="5"/>
      <c r="H157" s="5"/>
      <c r="I157" s="5"/>
      <c r="J157" s="5"/>
    </row>
    <row r="158" spans="2:11" x14ac:dyDescent="0.35">
      <c r="B158" s="9" t="s">
        <v>37</v>
      </c>
      <c r="C158" s="5"/>
      <c r="D158" s="5"/>
      <c r="E158" s="5"/>
      <c r="F158" s="5"/>
      <c r="G158" s="5"/>
      <c r="H158" s="5"/>
      <c r="I158" s="5"/>
      <c r="J158" s="5"/>
    </row>
    <row r="161" spans="2:10" ht="18.5" x14ac:dyDescent="0.45">
      <c r="B161" s="10"/>
      <c r="C161" s="10"/>
      <c r="D161" s="173" t="s">
        <v>41</v>
      </c>
      <c r="E161" s="173"/>
      <c r="F161" s="173"/>
      <c r="G161" s="173"/>
      <c r="H161" s="173"/>
      <c r="I161" s="173"/>
      <c r="J161" s="10"/>
    </row>
    <row r="162" spans="2:10" s="35" customFormat="1" ht="16" x14ac:dyDescent="0.4">
      <c r="B162" s="26"/>
      <c r="C162" s="26"/>
      <c r="D162" s="177" t="s">
        <v>43</v>
      </c>
      <c r="E162" s="177"/>
      <c r="F162" s="177"/>
      <c r="G162" s="177"/>
      <c r="H162" s="177"/>
      <c r="I162" s="177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74" t="s">
        <v>6</v>
      </c>
      <c r="E164" s="175"/>
      <c r="F164" s="175"/>
      <c r="G164" s="176"/>
      <c r="H164" s="166" t="s">
        <v>7</v>
      </c>
      <c r="I164" s="167"/>
      <c r="J164" s="4"/>
    </row>
    <row r="165" spans="2:10" x14ac:dyDescent="0.35">
      <c r="B165" s="12"/>
      <c r="C165" s="13"/>
      <c r="D165" s="170" t="s">
        <v>9</v>
      </c>
      <c r="E165" s="171"/>
      <c r="F165" s="171"/>
      <c r="G165" s="172"/>
      <c r="H165" s="168"/>
      <c r="I165" s="169"/>
      <c r="J165" s="4"/>
    </row>
    <row r="166" spans="2:10" ht="14.4" customHeight="1" x14ac:dyDescent="0.35">
      <c r="B166" s="133" t="s">
        <v>10</v>
      </c>
      <c r="C166" s="135" t="s">
        <v>11</v>
      </c>
      <c r="D166" s="18" t="s">
        <v>12</v>
      </c>
      <c r="E166" s="18" t="s">
        <v>13</v>
      </c>
      <c r="F166" s="18" t="s">
        <v>14</v>
      </c>
      <c r="G166" s="18" t="s">
        <v>15</v>
      </c>
      <c r="H166" s="161" t="s">
        <v>16</v>
      </c>
      <c r="I166" s="135" t="s">
        <v>17</v>
      </c>
      <c r="J166" s="19"/>
    </row>
    <row r="167" spans="2:10" ht="39" customHeight="1" x14ac:dyDescent="0.35">
      <c r="B167" s="134"/>
      <c r="C167" s="136"/>
      <c r="D167" s="163" t="s">
        <v>20</v>
      </c>
      <c r="E167" s="164"/>
      <c r="F167" s="164"/>
      <c r="G167" s="165"/>
      <c r="H167" s="162"/>
      <c r="I167" s="136"/>
      <c r="J167" s="19"/>
    </row>
    <row r="168" spans="2:10" x14ac:dyDescent="0.35">
      <c r="B168" s="40">
        <v>4</v>
      </c>
      <c r="C168" s="38" t="s">
        <v>21</v>
      </c>
      <c r="D168" s="20">
        <v>60654</v>
      </c>
      <c r="E168" s="20">
        <v>0</v>
      </c>
      <c r="F168" s="43">
        <f>+D168+E168</f>
        <v>60654</v>
      </c>
      <c r="G168" s="20">
        <f>+F168</f>
        <v>60654</v>
      </c>
      <c r="H168" s="44" t="e">
        <f t="shared" ref="H168:H192" si="28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66559.11</v>
      </c>
      <c r="E169" s="25">
        <v>0</v>
      </c>
      <c r="F169" s="47">
        <f>+E169+D169</f>
        <v>66559.11</v>
      </c>
      <c r="G169" s="25">
        <f>+G168+F169</f>
        <v>127213.11</v>
      </c>
      <c r="H169" s="48">
        <f t="shared" si="28"/>
        <v>16.622022697697268</v>
      </c>
      <c r="I169" s="25">
        <v>109081.55</v>
      </c>
      <c r="J169" s="21"/>
    </row>
    <row r="170" spans="2:10" x14ac:dyDescent="0.35">
      <c r="B170" s="40">
        <v>6</v>
      </c>
      <c r="C170" s="38" t="s">
        <v>23</v>
      </c>
      <c r="D170" s="25">
        <v>46007.58</v>
      </c>
      <c r="E170" s="25">
        <v>0</v>
      </c>
      <c r="F170" s="47">
        <f>+E170+D170</f>
        <v>46007.58</v>
      </c>
      <c r="G170" s="25">
        <f t="shared" ref="G170" si="29">+G169+F170</f>
        <v>173220.69</v>
      </c>
      <c r="H170" s="48">
        <f t="shared" si="28"/>
        <v>27.980692591334925</v>
      </c>
      <c r="I170" s="25">
        <f>+I169+26267.53</f>
        <v>135349.08000000002</v>
      </c>
      <c r="J170" s="21"/>
    </row>
    <row r="171" spans="2:10" x14ac:dyDescent="0.35">
      <c r="B171" s="40">
        <v>7</v>
      </c>
      <c r="C171" s="38" t="s">
        <v>24</v>
      </c>
      <c r="D171" s="25">
        <v>45522.05</v>
      </c>
      <c r="E171" s="25">
        <v>0</v>
      </c>
      <c r="F171" s="47">
        <f t="shared" ref="F171:F192" si="30">+E171+D171</f>
        <v>45522.05</v>
      </c>
      <c r="G171" s="25">
        <f>+G170+F171</f>
        <v>218742.74</v>
      </c>
      <c r="H171" s="48">
        <f t="shared" si="28"/>
        <v>54.965705216896112</v>
      </c>
      <c r="I171" s="25">
        <f>+I170+5806.5</f>
        <v>141155.58000000002</v>
      </c>
      <c r="J171" s="21"/>
    </row>
    <row r="172" spans="2:10" x14ac:dyDescent="0.35">
      <c r="B172" s="40">
        <v>8</v>
      </c>
      <c r="C172" s="38" t="s">
        <v>25</v>
      </c>
      <c r="D172" s="25">
        <v>156828.70000000001</v>
      </c>
      <c r="E172" s="25">
        <v>0</v>
      </c>
      <c r="F172" s="47">
        <f t="shared" si="30"/>
        <v>156828.70000000001</v>
      </c>
      <c r="G172" s="25">
        <f t="shared" ref="G172:G190" si="31">+G171+F172</f>
        <v>375571.44</v>
      </c>
      <c r="H172" s="48">
        <f t="shared" si="28"/>
        <v>165.41198379591745</v>
      </c>
      <c r="I172" s="25">
        <v>141505.07999999999</v>
      </c>
      <c r="J172" s="21"/>
    </row>
    <row r="173" spans="2:10" x14ac:dyDescent="0.35">
      <c r="B173" s="40">
        <v>9</v>
      </c>
      <c r="C173" s="38" t="s">
        <v>26</v>
      </c>
      <c r="D173" s="25">
        <v>65850.63</v>
      </c>
      <c r="E173" s="25">
        <v>0</v>
      </c>
      <c r="F173" s="47">
        <f t="shared" si="30"/>
        <v>65850.63</v>
      </c>
      <c r="G173" s="25">
        <f t="shared" si="31"/>
        <v>441422.07</v>
      </c>
      <c r="H173" s="48">
        <f t="shared" si="28"/>
        <v>177.90432963874622</v>
      </c>
      <c r="I173" s="25">
        <f>+I172+17334.5</f>
        <v>158839.57999999999</v>
      </c>
      <c r="J173" s="21"/>
    </row>
    <row r="174" spans="2:10" x14ac:dyDescent="0.35">
      <c r="B174" s="40">
        <v>10</v>
      </c>
      <c r="C174" s="38" t="s">
        <v>62</v>
      </c>
      <c r="D174" s="25">
        <v>22649.07</v>
      </c>
      <c r="E174" s="25">
        <v>0</v>
      </c>
      <c r="F174" s="47">
        <f t="shared" si="30"/>
        <v>22649.07</v>
      </c>
      <c r="G174" s="25">
        <f t="shared" si="31"/>
        <v>464071.14</v>
      </c>
      <c r="H174" s="48">
        <f t="shared" si="28"/>
        <v>181.45296986828569</v>
      </c>
      <c r="I174" s="25">
        <f>+I173+6044.5</f>
        <v>164884.07999999999</v>
      </c>
      <c r="J174" s="21"/>
    </row>
    <row r="175" spans="2:10" x14ac:dyDescent="0.35">
      <c r="B175" s="40">
        <v>11</v>
      </c>
      <c r="C175" s="38" t="s">
        <v>63</v>
      </c>
      <c r="D175" s="25">
        <v>79494.600000000006</v>
      </c>
      <c r="E175" s="25">
        <v>0</v>
      </c>
      <c r="F175" s="47">
        <f t="shared" si="30"/>
        <v>79494.600000000006</v>
      </c>
      <c r="G175" s="25">
        <f t="shared" si="31"/>
        <v>543565.74</v>
      </c>
      <c r="H175" s="48">
        <f t="shared" si="28"/>
        <v>186.32293563348651</v>
      </c>
      <c r="I175" s="25">
        <f>+I174+24959.51</f>
        <v>189843.59</v>
      </c>
      <c r="J175" s="21"/>
    </row>
    <row r="176" spans="2:10" x14ac:dyDescent="0.35">
      <c r="B176" s="40">
        <v>12</v>
      </c>
      <c r="C176" s="38" t="s">
        <v>78</v>
      </c>
      <c r="D176" s="25">
        <v>32327.05</v>
      </c>
      <c r="E176" s="25">
        <v>0</v>
      </c>
      <c r="F176" s="47">
        <f t="shared" si="30"/>
        <v>32327.05</v>
      </c>
      <c r="G176" s="25">
        <f t="shared" si="31"/>
        <v>575892.79</v>
      </c>
      <c r="H176" s="48">
        <f t="shared" si="28"/>
        <v>148.63247834465599</v>
      </c>
      <c r="I176" s="25">
        <f>+I175+41780.53</f>
        <v>231624.12</v>
      </c>
      <c r="J176" s="21"/>
    </row>
    <row r="177" spans="2:11" x14ac:dyDescent="0.35">
      <c r="B177" s="40">
        <v>13</v>
      </c>
      <c r="C177" s="38" t="s">
        <v>64</v>
      </c>
      <c r="D177" s="25">
        <v>39019.519999999997</v>
      </c>
      <c r="E177" s="25">
        <v>0</v>
      </c>
      <c r="F177" s="47">
        <f t="shared" si="30"/>
        <v>39019.519999999997</v>
      </c>
      <c r="G177" s="25">
        <f t="shared" si="31"/>
        <v>614912.31000000006</v>
      </c>
      <c r="H177" s="48">
        <f t="shared" si="28"/>
        <v>165.47853047428742</v>
      </c>
      <c r="I177" s="25">
        <v>231624.12</v>
      </c>
      <c r="J177" s="21"/>
    </row>
    <row r="178" spans="2:11" x14ac:dyDescent="0.35">
      <c r="B178" s="40">
        <v>14</v>
      </c>
      <c r="C178" s="58" t="s">
        <v>65</v>
      </c>
      <c r="D178" s="25">
        <v>51537.03</v>
      </c>
      <c r="E178" s="25">
        <v>0</v>
      </c>
      <c r="F178" s="47">
        <f t="shared" si="30"/>
        <v>51537.03</v>
      </c>
      <c r="G178" s="25">
        <f t="shared" si="31"/>
        <v>666449.34000000008</v>
      </c>
      <c r="H178" s="48">
        <f t="shared" si="28"/>
        <v>187.72881684342724</v>
      </c>
      <c r="I178" s="25">
        <f>+I177+0</f>
        <v>231624.12</v>
      </c>
      <c r="J178" s="21"/>
    </row>
    <row r="179" spans="2:11" x14ac:dyDescent="0.35">
      <c r="B179" s="40">
        <v>15</v>
      </c>
      <c r="C179" s="38" t="s">
        <v>66</v>
      </c>
      <c r="D179" s="25">
        <v>24077</v>
      </c>
      <c r="E179" s="25">
        <v>0</v>
      </c>
      <c r="F179" s="47">
        <f t="shared" si="30"/>
        <v>24077</v>
      </c>
      <c r="G179" s="25">
        <f t="shared" si="31"/>
        <v>690526.34000000008</v>
      </c>
      <c r="H179" s="48">
        <f t="shared" si="28"/>
        <v>198.12367554812516</v>
      </c>
      <c r="I179" s="25">
        <f>+I178+0</f>
        <v>231624.12</v>
      </c>
      <c r="J179" s="21"/>
    </row>
    <row r="180" spans="2:11" x14ac:dyDescent="0.35">
      <c r="B180" s="40">
        <v>16</v>
      </c>
      <c r="C180" s="38" t="s">
        <v>67</v>
      </c>
      <c r="D180" s="25">
        <v>16279</v>
      </c>
      <c r="E180" s="25">
        <v>0</v>
      </c>
      <c r="F180" s="47">
        <f t="shared" si="30"/>
        <v>16279</v>
      </c>
      <c r="G180" s="25">
        <f t="shared" si="31"/>
        <v>706805.34000000008</v>
      </c>
      <c r="H180" s="48">
        <f t="shared" si="28"/>
        <v>205.1518727842334</v>
      </c>
      <c r="I180" s="25">
        <v>231624.12</v>
      </c>
      <c r="J180" s="21"/>
    </row>
    <row r="181" spans="2:11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30"/>
        <v>0</v>
      </c>
      <c r="G181" s="25">
        <f t="shared" si="31"/>
        <v>706805.34000000008</v>
      </c>
      <c r="H181" s="48">
        <f t="shared" si="28"/>
        <v>205.1518727842334</v>
      </c>
      <c r="I181" s="25">
        <v>231624.12</v>
      </c>
      <c r="J181" s="21"/>
    </row>
    <row r="182" spans="2:11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30"/>
        <v>0</v>
      </c>
      <c r="G182" s="25">
        <f t="shared" si="31"/>
        <v>706805.34000000008</v>
      </c>
      <c r="H182" s="48">
        <f t="shared" si="28"/>
        <v>205.1518727842334</v>
      </c>
      <c r="I182" s="25">
        <f>+I181+0</f>
        <v>231624.12</v>
      </c>
      <c r="J182" s="21"/>
    </row>
    <row r="183" spans="2:11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30"/>
        <v>0</v>
      </c>
      <c r="G183" s="25">
        <f t="shared" si="31"/>
        <v>706805.34000000008</v>
      </c>
      <c r="H183" s="48">
        <f t="shared" si="28"/>
        <v>205.1518727842334</v>
      </c>
      <c r="I183" s="25">
        <f>+I182+0</f>
        <v>231624.12</v>
      </c>
      <c r="J183" s="21"/>
    </row>
    <row r="184" spans="2:11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30"/>
        <v>0</v>
      </c>
      <c r="G184" s="25">
        <f t="shared" si="31"/>
        <v>706805.34000000008</v>
      </c>
      <c r="H184" s="48">
        <f t="shared" si="28"/>
        <v>185.64702441948384</v>
      </c>
      <c r="I184" s="25">
        <f>+I183+15816</f>
        <v>247440.12</v>
      </c>
      <c r="J184" s="21"/>
    </row>
    <row r="185" spans="2:11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30"/>
        <v>0</v>
      </c>
      <c r="G185" s="25">
        <f t="shared" si="31"/>
        <v>706805.34000000008</v>
      </c>
      <c r="H185" s="48">
        <f t="shared" si="28"/>
        <v>185.64702441948384</v>
      </c>
      <c r="I185" s="25">
        <f t="shared" ref="I185:I189" si="32">+I184+0</f>
        <v>247440.12</v>
      </c>
      <c r="J185" s="21"/>
    </row>
    <row r="186" spans="2:11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30"/>
        <v>0</v>
      </c>
      <c r="G186" s="25">
        <f t="shared" si="31"/>
        <v>706805.34000000008</v>
      </c>
      <c r="H186" s="48">
        <f t="shared" si="28"/>
        <v>185.64702441948384</v>
      </c>
      <c r="I186" s="25">
        <f t="shared" si="32"/>
        <v>247440.12</v>
      </c>
      <c r="J186" s="21"/>
    </row>
    <row r="187" spans="2:11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30"/>
        <v>0</v>
      </c>
      <c r="G187" s="25">
        <f t="shared" si="31"/>
        <v>706805.34000000008</v>
      </c>
      <c r="H187" s="48">
        <f t="shared" si="28"/>
        <v>185.64702441948384</v>
      </c>
      <c r="I187" s="25">
        <f t="shared" si="32"/>
        <v>247440.12</v>
      </c>
      <c r="J187" s="21"/>
    </row>
    <row r="188" spans="2:11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30"/>
        <v>0</v>
      </c>
      <c r="G188" s="25">
        <f t="shared" si="31"/>
        <v>706805.34000000008</v>
      </c>
      <c r="H188" s="48">
        <f t="shared" si="28"/>
        <v>185.64702441948384</v>
      </c>
      <c r="I188" s="25">
        <f t="shared" si="32"/>
        <v>247440.12</v>
      </c>
      <c r="J188" s="21"/>
    </row>
    <row r="189" spans="2:11" x14ac:dyDescent="0.35">
      <c r="B189" s="40">
        <v>25</v>
      </c>
      <c r="C189" s="77" t="s">
        <v>84</v>
      </c>
      <c r="D189" s="25">
        <v>0</v>
      </c>
      <c r="E189" s="25">
        <v>0</v>
      </c>
      <c r="F189" s="47">
        <f t="shared" si="30"/>
        <v>0</v>
      </c>
      <c r="G189" s="25">
        <f t="shared" si="31"/>
        <v>706805.34000000008</v>
      </c>
      <c r="H189" s="48">
        <f t="shared" si="28"/>
        <v>185.64702441948384</v>
      </c>
      <c r="I189" s="25">
        <f t="shared" si="32"/>
        <v>247440.12</v>
      </c>
      <c r="J189" s="21"/>
    </row>
    <row r="190" spans="2:11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30"/>
        <v>0</v>
      </c>
      <c r="G190" s="106">
        <f t="shared" si="31"/>
        <v>706805.34000000008</v>
      </c>
      <c r="H190" s="48">
        <f t="shared" si="28"/>
        <v>185.64702441948384</v>
      </c>
      <c r="I190" s="25">
        <f>+I189+0</f>
        <v>247440.12</v>
      </c>
      <c r="J190" s="21"/>
      <c r="K190" s="1"/>
    </row>
    <row r="191" spans="2:11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30"/>
        <v>0</v>
      </c>
      <c r="G191" s="120">
        <f>+G190+F191</f>
        <v>706805.34000000008</v>
      </c>
      <c r="H191" s="48">
        <f t="shared" si="28"/>
        <v>185.64702441948384</v>
      </c>
      <c r="I191" s="25">
        <f>+I190+0</f>
        <v>247440.12</v>
      </c>
      <c r="J191" s="21"/>
    </row>
    <row r="192" spans="2:11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30"/>
        <v>0</v>
      </c>
      <c r="G192" s="109">
        <f t="shared" ref="G192" si="33">+G191+F192</f>
        <v>706805.34000000008</v>
      </c>
      <c r="H192" s="48">
        <f t="shared" si="28"/>
        <v>185.64702441948384</v>
      </c>
      <c r="I192" s="25">
        <f>+I191+0</f>
        <v>247440.12</v>
      </c>
      <c r="J192" s="21"/>
    </row>
    <row r="193" spans="2:11" hidden="1" x14ac:dyDescent="0.35">
      <c r="B193" s="40">
        <v>29</v>
      </c>
      <c r="C193" s="16" t="s">
        <v>27</v>
      </c>
      <c r="D193" s="23"/>
      <c r="E193" s="23"/>
      <c r="F193" s="24">
        <f t="shared" ref="F193:F206" si="34">+E193+D193</f>
        <v>0</v>
      </c>
      <c r="G193" s="23">
        <f>+G190+F193</f>
        <v>706805.34000000008</v>
      </c>
      <c r="H193" s="11">
        <v>0</v>
      </c>
      <c r="I193" s="25">
        <v>0</v>
      </c>
      <c r="J193" s="21"/>
    </row>
    <row r="194" spans="2:11" hidden="1" x14ac:dyDescent="0.35">
      <c r="B194" s="40">
        <v>30</v>
      </c>
      <c r="C194" s="16" t="s">
        <v>28</v>
      </c>
      <c r="D194" s="23"/>
      <c r="E194" s="23"/>
      <c r="F194" s="24">
        <f t="shared" si="34"/>
        <v>0</v>
      </c>
      <c r="G194" s="23">
        <f t="shared" ref="G194:G199" si="35">+G193+F194</f>
        <v>706805.34000000008</v>
      </c>
      <c r="H194" s="11">
        <v>0</v>
      </c>
      <c r="I194" s="25">
        <v>0</v>
      </c>
      <c r="J194" s="21"/>
    </row>
    <row r="195" spans="2:11" hidden="1" x14ac:dyDescent="0.35">
      <c r="B195" s="40">
        <v>31</v>
      </c>
      <c r="C195" s="16" t="s">
        <v>29</v>
      </c>
      <c r="D195" s="23"/>
      <c r="E195" s="23"/>
      <c r="F195" s="24">
        <f t="shared" si="34"/>
        <v>0</v>
      </c>
      <c r="G195" s="23">
        <f t="shared" si="35"/>
        <v>706805.34000000008</v>
      </c>
      <c r="H195" s="11">
        <v>0</v>
      </c>
      <c r="I195" s="25">
        <v>0</v>
      </c>
      <c r="J195" s="21"/>
    </row>
    <row r="196" spans="2:11" hidden="1" x14ac:dyDescent="0.35">
      <c r="B196" s="40">
        <v>32</v>
      </c>
      <c r="C196" s="16" t="s">
        <v>30</v>
      </c>
      <c r="D196" s="23"/>
      <c r="E196" s="23"/>
      <c r="F196" s="24">
        <f t="shared" si="34"/>
        <v>0</v>
      </c>
      <c r="G196" s="23">
        <f t="shared" si="35"/>
        <v>706805.34000000008</v>
      </c>
      <c r="H196" s="11">
        <v>0</v>
      </c>
      <c r="I196" s="25">
        <v>0</v>
      </c>
      <c r="J196" s="21"/>
    </row>
    <row r="197" spans="2:11" hidden="1" x14ac:dyDescent="0.35">
      <c r="B197" s="40">
        <v>33</v>
      </c>
      <c r="C197" s="16" t="s">
        <v>31</v>
      </c>
      <c r="D197" s="23"/>
      <c r="E197" s="23"/>
      <c r="F197" s="24">
        <f t="shared" si="34"/>
        <v>0</v>
      </c>
      <c r="G197" s="23">
        <f t="shared" si="35"/>
        <v>706805.34000000008</v>
      </c>
      <c r="H197" s="11">
        <v>0</v>
      </c>
      <c r="I197" s="25">
        <v>0</v>
      </c>
      <c r="J197" s="21"/>
    </row>
    <row r="198" spans="2:11" hidden="1" x14ac:dyDescent="0.35">
      <c r="B198" s="40">
        <v>34</v>
      </c>
      <c r="C198" s="17" t="s">
        <v>32</v>
      </c>
      <c r="D198" s="23"/>
      <c r="E198" s="23"/>
      <c r="F198" s="24">
        <f t="shared" si="34"/>
        <v>0</v>
      </c>
      <c r="G198" s="23">
        <f t="shared" si="35"/>
        <v>706805.34000000008</v>
      </c>
      <c r="H198" s="11">
        <v>0</v>
      </c>
      <c r="I198" s="25">
        <v>0</v>
      </c>
      <c r="J198" s="21"/>
    </row>
    <row r="199" spans="2:11" hidden="1" x14ac:dyDescent="0.35">
      <c r="B199" s="40">
        <v>35</v>
      </c>
      <c r="C199" s="27" t="s">
        <v>33</v>
      </c>
      <c r="D199" s="28"/>
      <c r="E199" s="28"/>
      <c r="F199" s="29">
        <f t="shared" si="34"/>
        <v>0</v>
      </c>
      <c r="G199" s="28">
        <f t="shared" si="35"/>
        <v>706805.34000000008</v>
      </c>
      <c r="H199" s="30">
        <v>0</v>
      </c>
      <c r="I199" s="31">
        <v>0</v>
      </c>
      <c r="J199" s="21"/>
    </row>
    <row r="200" spans="2:11" hidden="1" x14ac:dyDescent="0.35">
      <c r="B200" s="40">
        <v>36</v>
      </c>
      <c r="C200" s="16" t="s">
        <v>29</v>
      </c>
      <c r="D200" s="23"/>
      <c r="E200" s="23"/>
      <c r="F200" s="24">
        <f t="shared" si="34"/>
        <v>0</v>
      </c>
      <c r="G200" s="23">
        <f>+G190+F200</f>
        <v>706805.34000000008</v>
      </c>
      <c r="H200" s="11">
        <v>0</v>
      </c>
      <c r="I200" s="25">
        <v>0</v>
      </c>
      <c r="J200" s="21"/>
      <c r="K200" s="1"/>
    </row>
    <row r="201" spans="2:11" hidden="1" x14ac:dyDescent="0.35">
      <c r="B201" s="40">
        <v>37</v>
      </c>
      <c r="C201" s="16" t="s">
        <v>30</v>
      </c>
      <c r="D201" s="23"/>
      <c r="E201" s="23"/>
      <c r="F201" s="24">
        <f t="shared" si="34"/>
        <v>0</v>
      </c>
      <c r="G201" s="23">
        <f t="shared" ref="G201:G204" si="36">+G200+F201</f>
        <v>706805.34000000008</v>
      </c>
      <c r="H201" s="11">
        <v>0</v>
      </c>
      <c r="I201" s="25">
        <v>0</v>
      </c>
      <c r="J201" s="21"/>
      <c r="K201" s="1"/>
    </row>
    <row r="202" spans="2:11" hidden="1" x14ac:dyDescent="0.35">
      <c r="B202" s="40">
        <v>38</v>
      </c>
      <c r="C202" s="16" t="s">
        <v>31</v>
      </c>
      <c r="D202" s="23"/>
      <c r="E202" s="23"/>
      <c r="F202" s="24">
        <f t="shared" si="34"/>
        <v>0</v>
      </c>
      <c r="G202" s="23">
        <f t="shared" si="36"/>
        <v>706805.34000000008</v>
      </c>
      <c r="H202" s="11">
        <v>0</v>
      </c>
      <c r="I202" s="25">
        <v>0</v>
      </c>
      <c r="J202" s="21"/>
      <c r="K202" s="1"/>
    </row>
    <row r="203" spans="2:11" hidden="1" x14ac:dyDescent="0.35">
      <c r="B203" s="40">
        <v>39</v>
      </c>
      <c r="C203" s="17" t="s">
        <v>32</v>
      </c>
      <c r="D203" s="23"/>
      <c r="E203" s="23"/>
      <c r="F203" s="24">
        <f t="shared" si="34"/>
        <v>0</v>
      </c>
      <c r="G203" s="23">
        <f t="shared" si="36"/>
        <v>706805.34000000008</v>
      </c>
      <c r="H203" s="11">
        <v>0</v>
      </c>
      <c r="I203" s="25">
        <v>0</v>
      </c>
      <c r="J203" s="21"/>
      <c r="K203" s="1"/>
    </row>
    <row r="204" spans="2:11" hidden="1" x14ac:dyDescent="0.35">
      <c r="B204" s="40">
        <v>40</v>
      </c>
      <c r="C204" s="27" t="s">
        <v>33</v>
      </c>
      <c r="D204" s="28"/>
      <c r="E204" s="28"/>
      <c r="F204" s="29">
        <f t="shared" si="34"/>
        <v>0</v>
      </c>
      <c r="G204" s="28">
        <f t="shared" si="36"/>
        <v>706805.34000000008</v>
      </c>
      <c r="H204" s="30">
        <v>0</v>
      </c>
      <c r="I204" s="31">
        <v>0</v>
      </c>
      <c r="J204" s="21"/>
      <c r="K204" s="1"/>
    </row>
    <row r="205" spans="2:11" hidden="1" x14ac:dyDescent="0.35">
      <c r="B205" s="40">
        <v>41</v>
      </c>
      <c r="C205" s="17" t="s">
        <v>32</v>
      </c>
      <c r="D205" s="23"/>
      <c r="E205" s="23"/>
      <c r="F205" s="24">
        <f t="shared" si="34"/>
        <v>0</v>
      </c>
      <c r="G205" s="23">
        <f>+G188+F205</f>
        <v>706805.34000000008</v>
      </c>
      <c r="H205" s="11">
        <v>0</v>
      </c>
      <c r="I205" s="25">
        <v>0</v>
      </c>
      <c r="J205" s="21"/>
    </row>
    <row r="206" spans="2:11" hidden="1" x14ac:dyDescent="0.35">
      <c r="B206" s="40">
        <v>42</v>
      </c>
      <c r="C206" s="27" t="s">
        <v>33</v>
      </c>
      <c r="D206" s="28"/>
      <c r="E206" s="28"/>
      <c r="F206" s="29">
        <f t="shared" si="34"/>
        <v>0</v>
      </c>
      <c r="G206" s="28">
        <f t="shared" ref="G206" si="37">+G205+F206</f>
        <v>706805.34000000008</v>
      </c>
      <c r="H206" s="30">
        <v>0</v>
      </c>
      <c r="I206" s="31">
        <v>0</v>
      </c>
      <c r="J206" s="21"/>
    </row>
    <row r="207" spans="2:11" x14ac:dyDescent="0.35">
      <c r="B207" s="5"/>
      <c r="C207" s="5"/>
      <c r="D207" s="6"/>
      <c r="E207" s="6"/>
      <c r="F207" s="6"/>
      <c r="G207" s="6"/>
      <c r="H207" s="7"/>
      <c r="I207" s="6"/>
      <c r="J207" s="5"/>
    </row>
    <row r="208" spans="2:11" x14ac:dyDescent="0.35">
      <c r="B208" s="8" t="s">
        <v>34</v>
      </c>
      <c r="C208" s="5"/>
      <c r="D208" s="5"/>
      <c r="E208" s="5"/>
      <c r="F208" s="5"/>
      <c r="G208" s="5"/>
      <c r="H208" s="5"/>
      <c r="I208" s="5"/>
      <c r="J208" s="5"/>
    </row>
    <row r="209" spans="2:10" x14ac:dyDescent="0.35">
      <c r="B209" s="9" t="s">
        <v>35</v>
      </c>
      <c r="C209" s="5"/>
      <c r="D209" s="5"/>
      <c r="E209" s="5"/>
      <c r="F209" s="5"/>
      <c r="G209" s="5"/>
      <c r="H209" s="5"/>
      <c r="I209" s="5"/>
      <c r="J209" s="5"/>
    </row>
    <row r="210" spans="2:10" x14ac:dyDescent="0.35">
      <c r="B210" s="9" t="s">
        <v>36</v>
      </c>
      <c r="C210" s="5"/>
      <c r="D210" s="5"/>
      <c r="E210" s="5"/>
      <c r="F210" s="5"/>
      <c r="G210" s="5"/>
      <c r="H210" s="5"/>
      <c r="I210" s="5"/>
      <c r="J210" s="5"/>
    </row>
    <row r="211" spans="2:10" x14ac:dyDescent="0.35">
      <c r="B211" s="9" t="s">
        <v>37</v>
      </c>
      <c r="C211" s="5"/>
      <c r="D211" s="5"/>
      <c r="E211" s="5"/>
      <c r="F211" s="5"/>
      <c r="G211" s="5"/>
      <c r="H211" s="5"/>
      <c r="I211" s="5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211"/>
  <sheetViews>
    <sheetView zoomScale="80" zoomScaleNormal="80" workbookViewId="0">
      <selection activeCell="J24" sqref="J24"/>
    </sheetView>
  </sheetViews>
  <sheetFormatPr defaultColWidth="9" defaultRowHeight="14.5" x14ac:dyDescent="0.35"/>
  <cols>
    <col min="1" max="1" width="2" style="3" customWidth="1"/>
    <col min="2" max="2" width="7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8" width="16.69921875" style="3" customWidth="1"/>
    <col min="9" max="9" width="13" style="3" customWidth="1"/>
    <col min="10" max="11" width="9" style="3"/>
    <col min="12" max="12" width="14.09765625" style="3" bestFit="1" customWidth="1"/>
    <col min="13" max="13" width="10.3984375" style="3" bestFit="1" customWidth="1"/>
    <col min="14" max="16384" width="9" style="3"/>
  </cols>
  <sheetData>
    <row r="3" spans="2:13" s="35" customFormat="1" ht="18.5" x14ac:dyDescent="0.45">
      <c r="B3" s="26"/>
      <c r="C3" s="26"/>
      <c r="D3" s="182" t="s">
        <v>44</v>
      </c>
      <c r="E3" s="182"/>
      <c r="F3" s="182"/>
      <c r="G3" s="182"/>
      <c r="H3" s="182"/>
      <c r="I3" s="182"/>
      <c r="J3" s="26"/>
      <c r="K3" s="36"/>
      <c r="L3" s="2"/>
    </row>
    <row r="4" spans="2:13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3" ht="14.4" customHeight="1" x14ac:dyDescent="0.35">
      <c r="B5" s="14"/>
      <c r="C5" s="15"/>
      <c r="D5" s="174" t="s">
        <v>6</v>
      </c>
      <c r="E5" s="175"/>
      <c r="F5" s="175"/>
      <c r="G5" s="176"/>
      <c r="H5" s="166" t="s">
        <v>7</v>
      </c>
      <c r="I5" s="167"/>
      <c r="J5" s="4"/>
      <c r="K5" s="1"/>
      <c r="L5" s="2"/>
    </row>
    <row r="6" spans="2:13" x14ac:dyDescent="0.35">
      <c r="B6" s="12"/>
      <c r="C6" s="13"/>
      <c r="D6" s="170" t="s">
        <v>9</v>
      </c>
      <c r="E6" s="171"/>
      <c r="F6" s="171"/>
      <c r="G6" s="172"/>
      <c r="H6" s="168"/>
      <c r="I6" s="169"/>
      <c r="J6" s="4"/>
      <c r="K6" s="1"/>
      <c r="L6" s="2"/>
    </row>
    <row r="7" spans="2:13" ht="18.899999999999999" customHeight="1" x14ac:dyDescent="0.35">
      <c r="B7" s="133" t="s">
        <v>10</v>
      </c>
      <c r="C7" s="135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61" t="s">
        <v>16</v>
      </c>
      <c r="I7" s="135" t="s">
        <v>17</v>
      </c>
      <c r="J7" s="19"/>
      <c r="K7" s="1"/>
      <c r="L7" s="2"/>
    </row>
    <row r="8" spans="2:13" ht="35.4" customHeight="1" x14ac:dyDescent="0.35">
      <c r="B8" s="134"/>
      <c r="C8" s="136"/>
      <c r="D8" s="163" t="s">
        <v>20</v>
      </c>
      <c r="E8" s="164"/>
      <c r="F8" s="164"/>
      <c r="G8" s="165"/>
      <c r="H8" s="162"/>
      <c r="I8" s="136"/>
      <c r="J8" s="19"/>
      <c r="K8" s="1"/>
    </row>
    <row r="9" spans="2:13" x14ac:dyDescent="0.35">
      <c r="B9" s="40">
        <v>4</v>
      </c>
      <c r="C9" s="38" t="s">
        <v>21</v>
      </c>
      <c r="D9" s="20">
        <v>281223.5</v>
      </c>
      <c r="E9" s="20">
        <v>0</v>
      </c>
      <c r="F9" s="43">
        <f>+D9+E9</f>
        <v>281223.5</v>
      </c>
      <c r="G9" s="20">
        <f>+F9</f>
        <v>281223.5</v>
      </c>
      <c r="H9" s="44">
        <f t="shared" ref="H9:H33" si="0">((G9-I9)/I9)*100</f>
        <v>73.673013147899979</v>
      </c>
      <c r="I9" s="20">
        <v>161927</v>
      </c>
      <c r="J9" s="21"/>
      <c r="K9" s="1"/>
    </row>
    <row r="10" spans="2:13" x14ac:dyDescent="0.35">
      <c r="B10" s="40">
        <v>5</v>
      </c>
      <c r="C10" s="38" t="s">
        <v>22</v>
      </c>
      <c r="D10" s="25">
        <v>661494.31000000006</v>
      </c>
      <c r="E10" s="25">
        <v>0</v>
      </c>
      <c r="F10" s="47">
        <f>+E10+D10</f>
        <v>661494.31000000006</v>
      </c>
      <c r="G10" s="25">
        <f>+G9+F10</f>
        <v>942717.81</v>
      </c>
      <c r="H10" s="48">
        <f t="shared" si="0"/>
        <v>-24.606981427972126</v>
      </c>
      <c r="I10" s="25">
        <f>+I9+1088477.65</f>
        <v>1250404.6499999999</v>
      </c>
      <c r="J10" s="21"/>
      <c r="K10" s="1"/>
    </row>
    <row r="11" spans="2:13" x14ac:dyDescent="0.35">
      <c r="B11" s="40">
        <v>6</v>
      </c>
      <c r="C11" s="38" t="s">
        <v>23</v>
      </c>
      <c r="D11" s="25">
        <v>684028.5</v>
      </c>
      <c r="E11" s="25">
        <v>-79989</v>
      </c>
      <c r="F11" s="47">
        <f>+E11+D11</f>
        <v>604039.5</v>
      </c>
      <c r="G11" s="25">
        <f t="shared" ref="G11:G33" si="1">+G10+F11</f>
        <v>1546757.31</v>
      </c>
      <c r="H11" s="48">
        <f t="shared" si="0"/>
        <v>-30.390468987897769</v>
      </c>
      <c r="I11" s="25">
        <f>+I10+971643.52</f>
        <v>2222048.17</v>
      </c>
      <c r="J11" s="21"/>
      <c r="K11" s="1"/>
    </row>
    <row r="12" spans="2:13" x14ac:dyDescent="0.35">
      <c r="B12" s="40">
        <v>7</v>
      </c>
      <c r="C12" s="38" t="s">
        <v>24</v>
      </c>
      <c r="D12" s="25">
        <v>106349.5</v>
      </c>
      <c r="E12" s="25">
        <v>376135</v>
      </c>
      <c r="F12" s="47">
        <f t="shared" ref="F12:F33" si="2">+E12+D12</f>
        <v>482484.5</v>
      </c>
      <c r="G12" s="25">
        <f>+G11+F12</f>
        <v>2029241.81</v>
      </c>
      <c r="H12" s="48">
        <f t="shared" si="0"/>
        <v>-34.974765300493864</v>
      </c>
      <c r="I12" s="25">
        <f>+I11+898650.77</f>
        <v>3120698.94</v>
      </c>
      <c r="J12" s="21"/>
      <c r="K12" s="1"/>
      <c r="L12" s="37"/>
      <c r="M12" s="37"/>
    </row>
    <row r="13" spans="2:13" x14ac:dyDescent="0.35">
      <c r="B13" s="40">
        <v>8</v>
      </c>
      <c r="C13" s="38" t="s">
        <v>25</v>
      </c>
      <c r="D13" s="25">
        <v>305410.52</v>
      </c>
      <c r="E13" s="25">
        <v>0</v>
      </c>
      <c r="F13" s="47">
        <f t="shared" si="2"/>
        <v>305410.52</v>
      </c>
      <c r="G13" s="25">
        <f t="shared" si="1"/>
        <v>2334652.33</v>
      </c>
      <c r="H13" s="48">
        <f t="shared" si="0"/>
        <v>-43.624328275601222</v>
      </c>
      <c r="I13" s="25">
        <v>4141240.82</v>
      </c>
      <c r="J13" s="21"/>
      <c r="K13" s="1"/>
      <c r="L13" s="39"/>
    </row>
    <row r="14" spans="2:13" x14ac:dyDescent="0.35">
      <c r="B14" s="40">
        <v>9</v>
      </c>
      <c r="C14" s="38" t="s">
        <v>26</v>
      </c>
      <c r="D14" s="25">
        <v>151092</v>
      </c>
      <c r="E14" s="25">
        <v>0</v>
      </c>
      <c r="F14" s="47">
        <f t="shared" si="2"/>
        <v>151092</v>
      </c>
      <c r="G14" s="25">
        <f t="shared" si="1"/>
        <v>2485744.33</v>
      </c>
      <c r="H14" s="48">
        <f t="shared" si="0"/>
        <v>-48.08615788126933</v>
      </c>
      <c r="I14" s="25">
        <f>+I13+646970.24</f>
        <v>4788211.0599999996</v>
      </c>
      <c r="J14" s="21"/>
      <c r="K14" s="1"/>
    </row>
    <row r="15" spans="2:13" x14ac:dyDescent="0.35">
      <c r="B15" s="40">
        <v>10</v>
      </c>
      <c r="C15" s="38" t="s">
        <v>62</v>
      </c>
      <c r="D15" s="25">
        <v>511962.51</v>
      </c>
      <c r="E15" s="25">
        <v>0</v>
      </c>
      <c r="F15" s="47">
        <f t="shared" si="2"/>
        <v>511962.51</v>
      </c>
      <c r="G15" s="25">
        <f t="shared" si="1"/>
        <v>2997706.84</v>
      </c>
      <c r="H15" s="48">
        <f t="shared" si="0"/>
        <v>-53.924779876357157</v>
      </c>
      <c r="I15" s="25">
        <f>+I14+1717904.01</f>
        <v>6506115.0699999994</v>
      </c>
      <c r="J15" s="21"/>
      <c r="K15" s="1"/>
    </row>
    <row r="16" spans="2:13" x14ac:dyDescent="0.35">
      <c r="B16" s="40">
        <v>11</v>
      </c>
      <c r="C16" s="38" t="s">
        <v>63</v>
      </c>
      <c r="D16" s="25">
        <v>270748</v>
      </c>
      <c r="E16" s="25">
        <v>0</v>
      </c>
      <c r="F16" s="47">
        <f t="shared" si="2"/>
        <v>270748</v>
      </c>
      <c r="G16" s="25">
        <f t="shared" si="1"/>
        <v>3268454.84</v>
      </c>
      <c r="H16" s="48">
        <f t="shared" si="0"/>
        <v>-54.314560126959442</v>
      </c>
      <c r="I16" s="25">
        <f>+I15+648144.25</f>
        <v>7154259.3199999994</v>
      </c>
      <c r="J16" s="21"/>
      <c r="K16" s="1"/>
    </row>
    <row r="17" spans="2:11" x14ac:dyDescent="0.35">
      <c r="B17" s="40">
        <v>12</v>
      </c>
      <c r="C17" s="38" t="s">
        <v>78</v>
      </c>
      <c r="D17" s="25">
        <v>374984.52</v>
      </c>
      <c r="E17" s="25">
        <v>0</v>
      </c>
      <c r="F17" s="47">
        <f t="shared" si="2"/>
        <v>374984.52</v>
      </c>
      <c r="G17" s="25">
        <f t="shared" si="1"/>
        <v>3643439.36</v>
      </c>
      <c r="H17" s="48">
        <f t="shared" si="0"/>
        <v>-53.693033172276749</v>
      </c>
      <c r="I17" s="25">
        <f>+I16+713756.25</f>
        <v>7868015.5699999994</v>
      </c>
      <c r="J17" s="21"/>
      <c r="K17" s="1"/>
    </row>
    <row r="18" spans="2:11" x14ac:dyDescent="0.35">
      <c r="B18" s="40">
        <v>13</v>
      </c>
      <c r="C18" s="38" t="s">
        <v>64</v>
      </c>
      <c r="D18" s="25">
        <v>249899.5</v>
      </c>
      <c r="E18" s="25">
        <v>0</v>
      </c>
      <c r="F18" s="47">
        <f t="shared" si="2"/>
        <v>249899.5</v>
      </c>
      <c r="G18" s="25">
        <f t="shared" si="1"/>
        <v>3893338.86</v>
      </c>
      <c r="H18" s="48">
        <f t="shared" si="0"/>
        <v>-54.245920723388089</v>
      </c>
      <c r="I18" s="25">
        <v>8509271.5700000003</v>
      </c>
      <c r="J18" s="21"/>
      <c r="K18" s="1"/>
    </row>
    <row r="19" spans="2:11" x14ac:dyDescent="0.35">
      <c r="B19" s="40">
        <v>14</v>
      </c>
      <c r="C19" s="58" t="s">
        <v>65</v>
      </c>
      <c r="D19" s="25">
        <v>42124</v>
      </c>
      <c r="E19" s="25">
        <v>1829</v>
      </c>
      <c r="F19" s="47">
        <f t="shared" si="2"/>
        <v>43953</v>
      </c>
      <c r="G19" s="25">
        <f t="shared" si="1"/>
        <v>3937291.86</v>
      </c>
      <c r="H19" s="48">
        <f t="shared" si="0"/>
        <v>-56.949210805991953</v>
      </c>
      <c r="I19" s="25">
        <f>+I18+636418.75</f>
        <v>9145690.3200000003</v>
      </c>
      <c r="J19" s="21"/>
      <c r="K19" s="1"/>
    </row>
    <row r="20" spans="2:11" x14ac:dyDescent="0.35">
      <c r="B20" s="40">
        <v>15</v>
      </c>
      <c r="C20" s="38" t="s">
        <v>66</v>
      </c>
      <c r="D20" s="25">
        <v>10807</v>
      </c>
      <c r="E20" s="25">
        <v>0</v>
      </c>
      <c r="F20" s="47">
        <f t="shared" si="2"/>
        <v>10807</v>
      </c>
      <c r="G20" s="25">
        <f t="shared" si="1"/>
        <v>3948098.86</v>
      </c>
      <c r="H20" s="48">
        <f t="shared" si="0"/>
        <v>-57.813054529598887</v>
      </c>
      <c r="I20" s="25">
        <f>+I19+212889.25</f>
        <v>9358579.5700000003</v>
      </c>
      <c r="J20" s="21"/>
      <c r="K20" s="1"/>
    </row>
    <row r="21" spans="2:11" x14ac:dyDescent="0.35">
      <c r="B21" s="40">
        <v>16</v>
      </c>
      <c r="C21" s="38" t="s">
        <v>67</v>
      </c>
      <c r="D21" s="25">
        <v>154714</v>
      </c>
      <c r="E21" s="25">
        <v>0</v>
      </c>
      <c r="F21" s="47">
        <f t="shared" si="2"/>
        <v>154714</v>
      </c>
      <c r="G21" s="25">
        <f t="shared" si="1"/>
        <v>4102812.86</v>
      </c>
      <c r="H21" s="48">
        <f t="shared" si="0"/>
        <v>-57.687797912102759</v>
      </c>
      <c r="I21" s="25">
        <v>9696524.0700000003</v>
      </c>
      <c r="J21" s="21"/>
      <c r="K21" s="1"/>
    </row>
    <row r="22" spans="2:11" x14ac:dyDescent="0.35">
      <c r="B22" s="40">
        <v>17</v>
      </c>
      <c r="C22" s="38" t="s">
        <v>68</v>
      </c>
      <c r="D22" s="25">
        <v>6027</v>
      </c>
      <c r="E22" s="25">
        <v>18913.5</v>
      </c>
      <c r="F22" s="47">
        <f t="shared" si="2"/>
        <v>24940.5</v>
      </c>
      <c r="G22" s="25">
        <f t="shared" si="1"/>
        <v>4127753.36</v>
      </c>
      <c r="H22" s="48">
        <f t="shared" si="0"/>
        <v>-58.050477289344684</v>
      </c>
      <c r="I22" s="25">
        <v>9839810.0700000003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21416.5</v>
      </c>
      <c r="E23" s="25">
        <v>0</v>
      </c>
      <c r="F23" s="47">
        <f t="shared" si="2"/>
        <v>21416.5</v>
      </c>
      <c r="G23" s="25">
        <f t="shared" si="1"/>
        <v>4149169.86</v>
      </c>
      <c r="H23" s="48">
        <f t="shared" si="0"/>
        <v>-58.668735193355573</v>
      </c>
      <c r="I23" s="25">
        <f>+I22+199006.5</f>
        <v>10038816.57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2586</v>
      </c>
      <c r="E24" s="25">
        <v>0</v>
      </c>
      <c r="F24" s="47">
        <f t="shared" si="2"/>
        <v>2586</v>
      </c>
      <c r="G24" s="25">
        <f t="shared" si="1"/>
        <v>4151755.86</v>
      </c>
      <c r="H24" s="48">
        <f t="shared" si="0"/>
        <v>-58.997285101171052</v>
      </c>
      <c r="I24" s="25">
        <f>+I23+86746.75</f>
        <v>10125563.32</v>
      </c>
      <c r="J24" s="21"/>
      <c r="K24" s="1"/>
    </row>
    <row r="25" spans="2:11" x14ac:dyDescent="0.35">
      <c r="B25" s="40">
        <v>20</v>
      </c>
      <c r="C25" s="38" t="s">
        <v>71</v>
      </c>
      <c r="D25" s="25">
        <v>15988</v>
      </c>
      <c r="E25" s="25">
        <v>0</v>
      </c>
      <c r="F25" s="47">
        <f t="shared" si="2"/>
        <v>15988</v>
      </c>
      <c r="G25" s="25">
        <f t="shared" si="1"/>
        <v>4167743.86</v>
      </c>
      <c r="H25" s="48">
        <f t="shared" si="0"/>
        <v>-59.007982045557227</v>
      </c>
      <c r="I25" s="25">
        <f>+I24+41645</f>
        <v>10167208.32</v>
      </c>
      <c r="J25" s="21"/>
      <c r="K25" s="1"/>
    </row>
    <row r="26" spans="2:11" x14ac:dyDescent="0.35">
      <c r="B26" s="40">
        <v>21</v>
      </c>
      <c r="C26" s="38" t="s">
        <v>72</v>
      </c>
      <c r="D26" s="25">
        <v>0</v>
      </c>
      <c r="E26" s="25">
        <v>0</v>
      </c>
      <c r="F26" s="47">
        <f t="shared" si="2"/>
        <v>0</v>
      </c>
      <c r="G26" s="25">
        <f t="shared" si="1"/>
        <v>4167743.86</v>
      </c>
      <c r="H26" s="48">
        <f t="shared" si="0"/>
        <v>-59.028942662083985</v>
      </c>
      <c r="I26" s="25">
        <f>+I25+5201.5</f>
        <v>10172409.82</v>
      </c>
      <c r="J26" s="21"/>
      <c r="K26" s="1"/>
    </row>
    <row r="27" spans="2:11" x14ac:dyDescent="0.35">
      <c r="B27" s="40">
        <v>22</v>
      </c>
      <c r="C27" s="38" t="s">
        <v>73</v>
      </c>
      <c r="D27" s="25">
        <v>15319</v>
      </c>
      <c r="E27" s="25">
        <v>0</v>
      </c>
      <c r="F27" s="47">
        <f t="shared" si="2"/>
        <v>15319</v>
      </c>
      <c r="G27" s="25">
        <f t="shared" si="1"/>
        <v>4183062.86</v>
      </c>
      <c r="H27" s="48">
        <f t="shared" si="0"/>
        <v>-58.879674162991279</v>
      </c>
      <c r="I27" s="25">
        <f>+I26+327.81</f>
        <v>10172737.630000001</v>
      </c>
      <c r="J27" s="21"/>
      <c r="K27" s="1"/>
    </row>
    <row r="28" spans="2:11" x14ac:dyDescent="0.35">
      <c r="B28" s="40">
        <v>23</v>
      </c>
      <c r="C28" s="38" t="s">
        <v>80</v>
      </c>
      <c r="D28" s="25">
        <v>7083</v>
      </c>
      <c r="E28" s="25">
        <v>0</v>
      </c>
      <c r="F28" s="47">
        <f t="shared" si="2"/>
        <v>7083</v>
      </c>
      <c r="G28" s="25">
        <f t="shared" si="1"/>
        <v>4190145.86</v>
      </c>
      <c r="H28" s="48">
        <f t="shared" si="0"/>
        <v>-58.816475780518154</v>
      </c>
      <c r="I28" s="25">
        <f>+I27+1588</f>
        <v>10174325.630000001</v>
      </c>
      <c r="J28" s="21"/>
      <c r="K28" s="1"/>
    </row>
    <row r="29" spans="2:11" x14ac:dyDescent="0.35">
      <c r="B29" s="40">
        <v>24</v>
      </c>
      <c r="C29" s="38" t="s">
        <v>75</v>
      </c>
      <c r="D29" s="25">
        <v>0</v>
      </c>
      <c r="E29" s="25">
        <v>0</v>
      </c>
      <c r="F29" s="47">
        <f t="shared" si="2"/>
        <v>0</v>
      </c>
      <c r="G29" s="25">
        <f t="shared" si="1"/>
        <v>4190145.86</v>
      </c>
      <c r="H29" s="48">
        <f t="shared" si="0"/>
        <v>-58.827652456593391</v>
      </c>
      <c r="I29" s="25">
        <f>+I28+2761.93</f>
        <v>10177087.560000001</v>
      </c>
      <c r="J29" s="21"/>
    </row>
    <row r="30" spans="2:11" x14ac:dyDescent="0.35">
      <c r="B30" s="40">
        <v>25</v>
      </c>
      <c r="C30" s="77" t="s">
        <v>76</v>
      </c>
      <c r="D30" s="25">
        <v>4149</v>
      </c>
      <c r="E30" s="25">
        <v>0</v>
      </c>
      <c r="F30" s="47">
        <f t="shared" si="2"/>
        <v>4149</v>
      </c>
      <c r="G30" s="25">
        <f t="shared" si="1"/>
        <v>4194294.86</v>
      </c>
      <c r="H30" s="48">
        <f t="shared" si="0"/>
        <v>-58.786884408018217</v>
      </c>
      <c r="I30" s="25">
        <f>+I29+0</f>
        <v>10177087.560000001</v>
      </c>
      <c r="J30" s="21"/>
    </row>
    <row r="31" spans="2:11" x14ac:dyDescent="0.35">
      <c r="B31" s="111">
        <v>26</v>
      </c>
      <c r="C31" s="112" t="s">
        <v>77</v>
      </c>
      <c r="D31" s="105">
        <v>15308</v>
      </c>
      <c r="E31" s="106">
        <v>0</v>
      </c>
      <c r="F31" s="107">
        <f t="shared" si="2"/>
        <v>15308</v>
      </c>
      <c r="G31" s="106">
        <f t="shared" si="1"/>
        <v>4209602.8599999994</v>
      </c>
      <c r="H31" s="48">
        <f t="shared" si="0"/>
        <v>-58.636468093824675</v>
      </c>
      <c r="I31" s="25">
        <f>+I30+0</f>
        <v>10177087.560000001</v>
      </c>
      <c r="J31" s="21"/>
    </row>
    <row r="32" spans="2:11" x14ac:dyDescent="0.35">
      <c r="B32" s="111">
        <v>27</v>
      </c>
      <c r="C32" s="77" t="s">
        <v>81</v>
      </c>
      <c r="D32" s="119">
        <v>0</v>
      </c>
      <c r="E32" s="120">
        <v>0</v>
      </c>
      <c r="F32" s="121">
        <f t="shared" si="2"/>
        <v>0</v>
      </c>
      <c r="G32" s="120">
        <f t="shared" si="1"/>
        <v>4209602.8599999994</v>
      </c>
      <c r="H32" s="48">
        <f t="shared" si="0"/>
        <v>-58.636468093824675</v>
      </c>
      <c r="I32" s="25">
        <f>+I31+0</f>
        <v>10177087.560000001</v>
      </c>
      <c r="J32" s="21"/>
    </row>
    <row r="33" spans="2:12" x14ac:dyDescent="0.35">
      <c r="B33" s="110">
        <v>28</v>
      </c>
      <c r="C33" s="77" t="s">
        <v>87</v>
      </c>
      <c r="D33" s="108">
        <v>2926</v>
      </c>
      <c r="E33" s="108">
        <v>-156401.5</v>
      </c>
      <c r="F33" s="109">
        <f t="shared" si="2"/>
        <v>-153475.5</v>
      </c>
      <c r="G33" s="109">
        <f t="shared" si="1"/>
        <v>4056127.3599999994</v>
      </c>
      <c r="H33" s="48">
        <f t="shared" si="0"/>
        <v>-60.144517416336349</v>
      </c>
      <c r="I33" s="25">
        <f>+I32+0</f>
        <v>10177087.560000001</v>
      </c>
      <c r="J33" s="21"/>
    </row>
    <row r="34" spans="2:12" hidden="1" x14ac:dyDescent="0.35">
      <c r="B34" s="40">
        <v>29</v>
      </c>
      <c r="C34" s="16" t="s">
        <v>27</v>
      </c>
      <c r="D34" s="23"/>
      <c r="E34" s="23"/>
      <c r="F34" s="24">
        <f t="shared" ref="F34:F47" si="3">+E34+D34</f>
        <v>0</v>
      </c>
      <c r="G34" s="23">
        <f t="shared" ref="G34:G47" si="4">+G33+F34</f>
        <v>4056127.3599999994</v>
      </c>
      <c r="H34" s="11">
        <v>0</v>
      </c>
      <c r="I34" s="25">
        <v>0</v>
      </c>
      <c r="J34" s="21"/>
    </row>
    <row r="35" spans="2:12" hidden="1" x14ac:dyDescent="0.35">
      <c r="B35" s="40">
        <v>30</v>
      </c>
      <c r="C35" s="16" t="s">
        <v>28</v>
      </c>
      <c r="D35" s="23"/>
      <c r="E35" s="23"/>
      <c r="F35" s="24">
        <f t="shared" si="3"/>
        <v>0</v>
      </c>
      <c r="G35" s="23">
        <f t="shared" si="4"/>
        <v>4056127.3599999994</v>
      </c>
      <c r="H35" s="11">
        <v>0</v>
      </c>
      <c r="I35" s="25">
        <v>0</v>
      </c>
      <c r="J35" s="21"/>
    </row>
    <row r="36" spans="2:12" hidden="1" x14ac:dyDescent="0.35">
      <c r="B36" s="40">
        <v>31</v>
      </c>
      <c r="C36" s="16" t="s">
        <v>29</v>
      </c>
      <c r="D36" s="23"/>
      <c r="E36" s="23"/>
      <c r="F36" s="24">
        <f t="shared" si="3"/>
        <v>0</v>
      </c>
      <c r="G36" s="23">
        <f t="shared" si="4"/>
        <v>4056127.3599999994</v>
      </c>
      <c r="H36" s="11">
        <v>0</v>
      </c>
      <c r="I36" s="25">
        <v>0</v>
      </c>
      <c r="J36" s="21"/>
    </row>
    <row r="37" spans="2:12" hidden="1" x14ac:dyDescent="0.35">
      <c r="B37" s="40">
        <v>32</v>
      </c>
      <c r="C37" s="16" t="s">
        <v>30</v>
      </c>
      <c r="D37" s="23"/>
      <c r="E37" s="23"/>
      <c r="F37" s="24">
        <f t="shared" si="3"/>
        <v>0</v>
      </c>
      <c r="G37" s="23">
        <f t="shared" si="4"/>
        <v>4056127.3599999994</v>
      </c>
      <c r="H37" s="11">
        <v>0</v>
      </c>
      <c r="I37" s="25">
        <v>0</v>
      </c>
      <c r="J37" s="21"/>
    </row>
    <row r="38" spans="2:12" hidden="1" x14ac:dyDescent="0.35">
      <c r="B38" s="40">
        <v>33</v>
      </c>
      <c r="C38" s="16" t="s">
        <v>31</v>
      </c>
      <c r="D38" s="23"/>
      <c r="E38" s="23"/>
      <c r="F38" s="24">
        <f t="shared" si="3"/>
        <v>0</v>
      </c>
      <c r="G38" s="23">
        <f t="shared" si="4"/>
        <v>4056127.3599999994</v>
      </c>
      <c r="H38" s="11">
        <v>0</v>
      </c>
      <c r="I38" s="25">
        <v>0</v>
      </c>
      <c r="J38" s="21"/>
    </row>
    <row r="39" spans="2:12" hidden="1" x14ac:dyDescent="0.35">
      <c r="B39" s="40">
        <v>34</v>
      </c>
      <c r="C39" s="17" t="s">
        <v>32</v>
      </c>
      <c r="D39" s="23"/>
      <c r="E39" s="23"/>
      <c r="F39" s="24">
        <f t="shared" si="3"/>
        <v>0</v>
      </c>
      <c r="G39" s="23">
        <f t="shared" si="4"/>
        <v>4056127.3599999994</v>
      </c>
      <c r="H39" s="11">
        <v>0</v>
      </c>
      <c r="I39" s="25">
        <v>0</v>
      </c>
      <c r="J39" s="21"/>
    </row>
    <row r="40" spans="2:12" hidden="1" x14ac:dyDescent="0.35">
      <c r="B40" s="40">
        <v>35</v>
      </c>
      <c r="C40" s="27" t="s">
        <v>33</v>
      </c>
      <c r="D40" s="28"/>
      <c r="E40" s="28"/>
      <c r="F40" s="29">
        <f t="shared" si="3"/>
        <v>0</v>
      </c>
      <c r="G40" s="28">
        <f t="shared" si="4"/>
        <v>4056127.3599999994</v>
      </c>
      <c r="H40" s="30">
        <v>0</v>
      </c>
      <c r="I40" s="31">
        <v>0</v>
      </c>
      <c r="J40" s="21"/>
    </row>
    <row r="41" spans="2:12" hidden="1" x14ac:dyDescent="0.35">
      <c r="B41" s="40">
        <v>36</v>
      </c>
      <c r="C41" s="16" t="s">
        <v>27</v>
      </c>
      <c r="D41" s="23"/>
      <c r="E41" s="23"/>
      <c r="F41" s="24">
        <f t="shared" si="3"/>
        <v>0</v>
      </c>
      <c r="G41" s="23">
        <f t="shared" si="4"/>
        <v>4056127.3599999994</v>
      </c>
      <c r="H41" s="11">
        <v>0</v>
      </c>
      <c r="I41" s="25">
        <v>0</v>
      </c>
      <c r="J41" s="21"/>
    </row>
    <row r="42" spans="2:12" hidden="1" x14ac:dyDescent="0.35">
      <c r="B42" s="40">
        <v>37</v>
      </c>
      <c r="C42" s="16" t="s">
        <v>28</v>
      </c>
      <c r="D42" s="23"/>
      <c r="E42" s="23"/>
      <c r="F42" s="24">
        <f t="shared" si="3"/>
        <v>0</v>
      </c>
      <c r="G42" s="23">
        <f t="shared" si="4"/>
        <v>4056127.3599999994</v>
      </c>
      <c r="H42" s="11">
        <v>0</v>
      </c>
      <c r="I42" s="25">
        <v>0</v>
      </c>
      <c r="J42" s="21"/>
    </row>
    <row r="43" spans="2:12" hidden="1" x14ac:dyDescent="0.35">
      <c r="B43" s="40">
        <v>38</v>
      </c>
      <c r="C43" s="16" t="s">
        <v>29</v>
      </c>
      <c r="D43" s="23"/>
      <c r="E43" s="23"/>
      <c r="F43" s="24">
        <f t="shared" si="3"/>
        <v>0</v>
      </c>
      <c r="G43" s="23">
        <f t="shared" si="4"/>
        <v>4056127.3599999994</v>
      </c>
      <c r="H43" s="11">
        <v>0</v>
      </c>
      <c r="I43" s="25">
        <v>0</v>
      </c>
      <c r="J43" s="21"/>
    </row>
    <row r="44" spans="2:12" hidden="1" x14ac:dyDescent="0.35">
      <c r="B44" s="40">
        <v>39</v>
      </c>
      <c r="C44" s="16" t="s">
        <v>30</v>
      </c>
      <c r="D44" s="23"/>
      <c r="E44" s="23"/>
      <c r="F44" s="24">
        <f t="shared" si="3"/>
        <v>0</v>
      </c>
      <c r="G44" s="23">
        <f t="shared" si="4"/>
        <v>4056127.3599999994</v>
      </c>
      <c r="H44" s="11">
        <v>0</v>
      </c>
      <c r="I44" s="25">
        <v>0</v>
      </c>
      <c r="J44" s="21"/>
    </row>
    <row r="45" spans="2:12" hidden="1" x14ac:dyDescent="0.35">
      <c r="B45" s="40">
        <v>40</v>
      </c>
      <c r="C45" s="16" t="s">
        <v>31</v>
      </c>
      <c r="D45" s="23"/>
      <c r="E45" s="23"/>
      <c r="F45" s="24">
        <f t="shared" si="3"/>
        <v>0</v>
      </c>
      <c r="G45" s="23">
        <f>+G28+F45</f>
        <v>4190145.86</v>
      </c>
      <c r="H45" s="11">
        <v>0</v>
      </c>
      <c r="I45" s="25">
        <v>0</v>
      </c>
      <c r="J45" s="21"/>
      <c r="K45" s="1"/>
    </row>
    <row r="46" spans="2:12" hidden="1" x14ac:dyDescent="0.35">
      <c r="B46" s="40">
        <v>41</v>
      </c>
      <c r="C46" s="17" t="s">
        <v>32</v>
      </c>
      <c r="D46" s="23"/>
      <c r="E46" s="23"/>
      <c r="F46" s="24">
        <f t="shared" si="3"/>
        <v>0</v>
      </c>
      <c r="G46" s="23">
        <f t="shared" si="4"/>
        <v>4190145.86</v>
      </c>
      <c r="H46" s="11">
        <v>0</v>
      </c>
      <c r="I46" s="25">
        <v>0</v>
      </c>
      <c r="J46" s="21"/>
      <c r="K46" s="1"/>
    </row>
    <row r="47" spans="2:12" hidden="1" x14ac:dyDescent="0.35">
      <c r="B47" s="40">
        <v>42</v>
      </c>
      <c r="C47" s="27" t="s">
        <v>33</v>
      </c>
      <c r="D47" s="28"/>
      <c r="E47" s="28"/>
      <c r="F47" s="29">
        <f t="shared" si="3"/>
        <v>0</v>
      </c>
      <c r="G47" s="28">
        <f t="shared" si="4"/>
        <v>4190145.86</v>
      </c>
      <c r="H47" s="30">
        <v>0</v>
      </c>
      <c r="I47" s="31">
        <v>0</v>
      </c>
      <c r="J47" s="21"/>
      <c r="K47" s="1"/>
    </row>
    <row r="48" spans="2:12" x14ac:dyDescent="0.35">
      <c r="B48" s="5"/>
      <c r="C48" s="5"/>
      <c r="D48" s="6"/>
      <c r="E48" s="6"/>
      <c r="F48" s="6"/>
      <c r="G48" s="6"/>
      <c r="H48" s="7"/>
      <c r="I48" s="6"/>
      <c r="J48" s="5"/>
      <c r="K48" s="1"/>
      <c r="L48" s="37"/>
    </row>
    <row r="49" spans="2:12" x14ac:dyDescent="0.35">
      <c r="B49" s="8" t="s">
        <v>34</v>
      </c>
      <c r="C49" s="5"/>
      <c r="D49" s="5"/>
      <c r="E49" s="5"/>
      <c r="F49" s="5"/>
      <c r="G49" s="5"/>
      <c r="H49" s="5"/>
      <c r="I49" s="5"/>
      <c r="J49" s="5"/>
      <c r="K49" s="1"/>
    </row>
    <row r="50" spans="2:12" x14ac:dyDescent="0.35">
      <c r="B50" s="9" t="s">
        <v>35</v>
      </c>
      <c r="C50" s="5"/>
      <c r="D50" s="5"/>
      <c r="E50" s="5"/>
      <c r="F50" s="5"/>
      <c r="G50" s="5"/>
      <c r="H50" s="5"/>
      <c r="I50" s="5"/>
      <c r="J50" s="5"/>
      <c r="K50" s="1"/>
    </row>
    <row r="51" spans="2:12" x14ac:dyDescent="0.35">
      <c r="B51" s="9" t="s">
        <v>36</v>
      </c>
      <c r="C51" s="5"/>
      <c r="D51" s="5"/>
      <c r="E51" s="5"/>
      <c r="F51" s="5"/>
      <c r="G51" s="5"/>
      <c r="H51" s="5"/>
      <c r="I51" s="5"/>
      <c r="J51" s="5"/>
      <c r="K51" s="1"/>
      <c r="L51" s="37"/>
    </row>
    <row r="52" spans="2:12" x14ac:dyDescent="0.35">
      <c r="B52" s="9" t="s">
        <v>37</v>
      </c>
      <c r="C52" s="5"/>
      <c r="D52" s="5"/>
      <c r="E52" s="5"/>
      <c r="F52" s="5"/>
      <c r="G52" s="5"/>
      <c r="H52" s="5"/>
      <c r="I52" s="5"/>
      <c r="J52" s="5"/>
      <c r="K52" s="1"/>
    </row>
    <row r="53" spans="2:12" x14ac:dyDescent="0.35">
      <c r="B53" s="9"/>
      <c r="C53" s="5"/>
      <c r="D53" s="5"/>
      <c r="E53" s="5"/>
      <c r="F53" s="5"/>
      <c r="G53" s="5"/>
      <c r="H53" s="5"/>
      <c r="I53" s="5"/>
      <c r="J53" s="5"/>
      <c r="K53" s="1"/>
    </row>
    <row r="54" spans="2:12" x14ac:dyDescent="0.35">
      <c r="B54" s="9"/>
      <c r="C54" s="5"/>
      <c r="D54" s="5"/>
      <c r="E54" s="5"/>
      <c r="F54" s="5"/>
      <c r="G54" s="5"/>
      <c r="H54" s="5"/>
      <c r="I54" s="5"/>
      <c r="J54" s="5"/>
      <c r="K54" s="1"/>
    </row>
    <row r="55" spans="2:12" ht="18.5" x14ac:dyDescent="0.45">
      <c r="B55" s="10"/>
      <c r="C55" s="10"/>
      <c r="D55" s="180" t="s">
        <v>38</v>
      </c>
      <c r="E55" s="180"/>
      <c r="F55" s="180"/>
      <c r="G55" s="180"/>
      <c r="H55" s="180"/>
      <c r="I55" s="180"/>
      <c r="J55" s="10"/>
    </row>
    <row r="56" spans="2:12" s="35" customFormat="1" ht="16" x14ac:dyDescent="0.4">
      <c r="B56" s="26"/>
      <c r="C56" s="26"/>
      <c r="D56" s="181" t="s">
        <v>44</v>
      </c>
      <c r="E56" s="181"/>
      <c r="F56" s="181"/>
      <c r="G56" s="181"/>
      <c r="H56" s="181"/>
      <c r="I56" s="181"/>
      <c r="J56" s="26"/>
    </row>
    <row r="57" spans="2:12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2" ht="14.4" customHeight="1" x14ac:dyDescent="0.35">
      <c r="B58" s="14"/>
      <c r="C58" s="15"/>
      <c r="D58" s="174" t="s">
        <v>6</v>
      </c>
      <c r="E58" s="175"/>
      <c r="F58" s="175"/>
      <c r="G58" s="176"/>
      <c r="H58" s="166" t="s">
        <v>7</v>
      </c>
      <c r="I58" s="167"/>
      <c r="J58" s="4"/>
    </row>
    <row r="59" spans="2:12" x14ac:dyDescent="0.35">
      <c r="B59" s="12"/>
      <c r="C59" s="13"/>
      <c r="D59" s="170" t="s">
        <v>9</v>
      </c>
      <c r="E59" s="171"/>
      <c r="F59" s="171"/>
      <c r="G59" s="172"/>
      <c r="H59" s="168"/>
      <c r="I59" s="169"/>
      <c r="J59" s="4"/>
    </row>
    <row r="60" spans="2:12" ht="14.4" customHeight="1" x14ac:dyDescent="0.35">
      <c r="B60" s="133" t="s">
        <v>10</v>
      </c>
      <c r="C60" s="135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61" t="s">
        <v>16</v>
      </c>
      <c r="I60" s="135" t="s">
        <v>17</v>
      </c>
      <c r="J60" s="19"/>
    </row>
    <row r="61" spans="2:12" ht="40.65" customHeight="1" x14ac:dyDescent="0.35">
      <c r="B61" s="134"/>
      <c r="C61" s="136"/>
      <c r="D61" s="163" t="s">
        <v>20</v>
      </c>
      <c r="E61" s="164"/>
      <c r="F61" s="164"/>
      <c r="G61" s="165"/>
      <c r="H61" s="162"/>
      <c r="I61" s="136"/>
      <c r="J61" s="19"/>
    </row>
    <row r="62" spans="2:12" x14ac:dyDescent="0.35">
      <c r="B62" s="40">
        <v>4</v>
      </c>
      <c r="C62" s="38" t="s">
        <v>21</v>
      </c>
      <c r="D62" s="20">
        <v>280686</v>
      </c>
      <c r="E62" s="20">
        <v>0</v>
      </c>
      <c r="F62" s="43">
        <f>+D62+E62</f>
        <v>280686</v>
      </c>
      <c r="G62" s="20">
        <f>+F62</f>
        <v>280686</v>
      </c>
      <c r="H62" s="44">
        <f t="shared" ref="H62:H86" si="5">((G62-I62)/I62)*100</f>
        <v>73.341073446676589</v>
      </c>
      <c r="I62" s="20">
        <v>161927</v>
      </c>
      <c r="J62" s="21"/>
    </row>
    <row r="63" spans="2:12" x14ac:dyDescent="0.35">
      <c r="B63" s="40">
        <v>5</v>
      </c>
      <c r="C63" s="38" t="s">
        <v>22</v>
      </c>
      <c r="D63" s="25">
        <v>661021.81000000006</v>
      </c>
      <c r="E63" s="25">
        <v>0</v>
      </c>
      <c r="F63" s="47">
        <f>+E63+D63</f>
        <v>661021.81000000006</v>
      </c>
      <c r="G63" s="25">
        <f>+G62+F63</f>
        <v>941707.81</v>
      </c>
      <c r="H63" s="48">
        <f t="shared" si="5"/>
        <v>-24.612211015371901</v>
      </c>
      <c r="I63" s="25">
        <v>1249151.6499999999</v>
      </c>
      <c r="J63" s="21"/>
    </row>
    <row r="64" spans="2:12" x14ac:dyDescent="0.35">
      <c r="B64" s="40">
        <v>6</v>
      </c>
      <c r="C64" s="38" t="s">
        <v>23</v>
      </c>
      <c r="D64" s="25">
        <f>604039.5+79989</f>
        <v>684028.5</v>
      </c>
      <c r="E64" s="25">
        <v>-79989</v>
      </c>
      <c r="F64" s="47">
        <f>+E64+D64</f>
        <v>604039.5</v>
      </c>
      <c r="G64" s="25">
        <f t="shared" ref="G64" si="6">+G63+F64</f>
        <v>1545747.31</v>
      </c>
      <c r="H64" s="48">
        <f t="shared" si="5"/>
        <v>-30.35193607558675</v>
      </c>
      <c r="I64" s="25">
        <f>+I63+970217.02</f>
        <v>2219368.67</v>
      </c>
      <c r="J64" s="21"/>
    </row>
    <row r="65" spans="2:10" x14ac:dyDescent="0.35">
      <c r="B65" s="40">
        <v>7</v>
      </c>
      <c r="C65" s="38" t="s">
        <v>24</v>
      </c>
      <c r="D65" s="25">
        <v>105227.5</v>
      </c>
      <c r="E65" s="25">
        <v>214273</v>
      </c>
      <c r="F65" s="47">
        <f t="shared" ref="F65:F86" si="7">+E65+D65</f>
        <v>319500.5</v>
      </c>
      <c r="G65" s="25">
        <f>+G64+F65</f>
        <v>1865247.81</v>
      </c>
      <c r="H65" s="48">
        <f t="shared" si="5"/>
        <v>-40.178441927866878</v>
      </c>
      <c r="I65" s="25">
        <f>+I64+898650.77</f>
        <v>3118019.44</v>
      </c>
      <c r="J65" s="21"/>
    </row>
    <row r="66" spans="2:10" x14ac:dyDescent="0.35">
      <c r="B66" s="40">
        <v>8</v>
      </c>
      <c r="C66" s="38" t="s">
        <v>25</v>
      </c>
      <c r="D66" s="25">
        <v>305410.52</v>
      </c>
      <c r="E66" s="25">
        <v>0</v>
      </c>
      <c r="F66" s="47">
        <f t="shared" si="7"/>
        <v>305410.52</v>
      </c>
      <c r="G66" s="25">
        <f t="shared" ref="G66:G86" si="8">+G65+F66</f>
        <v>2170658.33</v>
      </c>
      <c r="H66" s="48">
        <f t="shared" si="5"/>
        <v>-47.550412760345417</v>
      </c>
      <c r="I66" s="25">
        <f>+I65+1020541.88</f>
        <v>4138561.32</v>
      </c>
      <c r="J66" s="21"/>
    </row>
    <row r="67" spans="2:10" x14ac:dyDescent="0.35">
      <c r="B67" s="40">
        <v>9</v>
      </c>
      <c r="C67" s="38" t="s">
        <v>26</v>
      </c>
      <c r="D67" s="25">
        <v>147250.5</v>
      </c>
      <c r="E67" s="25">
        <v>0</v>
      </c>
      <c r="F67" s="47">
        <f t="shared" si="7"/>
        <v>147250.5</v>
      </c>
      <c r="G67" s="25">
        <f t="shared" si="8"/>
        <v>2317908.83</v>
      </c>
      <c r="H67" s="48">
        <f t="shared" si="5"/>
        <v>-51.550789991887378</v>
      </c>
      <c r="I67" s="25">
        <f>+I66+645642.24</f>
        <v>4784203.5599999996</v>
      </c>
      <c r="J67" s="21"/>
    </row>
    <row r="68" spans="2:10" x14ac:dyDescent="0.35">
      <c r="B68" s="40">
        <v>10</v>
      </c>
      <c r="C68" s="38" t="s">
        <v>62</v>
      </c>
      <c r="D68" s="25">
        <v>511962.51</v>
      </c>
      <c r="E68" s="25">
        <v>0</v>
      </c>
      <c r="F68" s="47">
        <f t="shared" si="7"/>
        <v>511962.51</v>
      </c>
      <c r="G68" s="25">
        <f t="shared" si="8"/>
        <v>2829871.34</v>
      </c>
      <c r="H68" s="48">
        <f t="shared" si="5"/>
        <v>-56.476950197618002</v>
      </c>
      <c r="I68" s="25">
        <f>+I67+1717802.51</f>
        <v>6502006.0699999994</v>
      </c>
      <c r="J68" s="21"/>
    </row>
    <row r="69" spans="2:10" x14ac:dyDescent="0.35">
      <c r="B69" s="40">
        <v>11</v>
      </c>
      <c r="C69" s="38" t="s">
        <v>63</v>
      </c>
      <c r="D69" s="25">
        <v>269143</v>
      </c>
      <c r="E69" s="25">
        <v>0</v>
      </c>
      <c r="F69" s="47">
        <f t="shared" si="7"/>
        <v>269143</v>
      </c>
      <c r="G69" s="25">
        <f t="shared" si="8"/>
        <v>3099014.34</v>
      </c>
      <c r="H69" s="48">
        <f t="shared" si="5"/>
        <v>-56.658053309290423</v>
      </c>
      <c r="I69" s="25">
        <f>+I68+648144.25</f>
        <v>7150150.3199999994</v>
      </c>
      <c r="J69" s="21"/>
    </row>
    <row r="70" spans="2:10" x14ac:dyDescent="0.35">
      <c r="B70" s="40">
        <v>12</v>
      </c>
      <c r="C70" s="38" t="s">
        <v>78</v>
      </c>
      <c r="D70" s="25">
        <v>374984.52</v>
      </c>
      <c r="E70" s="25">
        <v>0</v>
      </c>
      <c r="F70" s="47">
        <f t="shared" si="7"/>
        <v>374984.52</v>
      </c>
      <c r="G70" s="25">
        <f t="shared" si="8"/>
        <v>3473998.86</v>
      </c>
      <c r="H70" s="48">
        <f t="shared" si="5"/>
        <v>-55.8234977860374</v>
      </c>
      <c r="I70" s="25">
        <f>+I69+713756.25</f>
        <v>7863906.5699999994</v>
      </c>
      <c r="J70" s="21"/>
    </row>
    <row r="71" spans="2:10" x14ac:dyDescent="0.35">
      <c r="B71" s="40">
        <v>13</v>
      </c>
      <c r="C71" s="38" t="s">
        <v>64</v>
      </c>
      <c r="D71" s="25">
        <v>249899.5</v>
      </c>
      <c r="E71" s="25">
        <v>0</v>
      </c>
      <c r="F71" s="47">
        <f t="shared" si="7"/>
        <v>249899.5</v>
      </c>
      <c r="G71" s="25">
        <f t="shared" si="8"/>
        <v>3723898.36</v>
      </c>
      <c r="H71" s="48">
        <f t="shared" si="5"/>
        <v>-56.216023746151635</v>
      </c>
      <c r="I71" s="25">
        <v>8505162.5700000003</v>
      </c>
      <c r="J71" s="21"/>
    </row>
    <row r="72" spans="2:10" x14ac:dyDescent="0.35">
      <c r="B72" s="40">
        <v>14</v>
      </c>
      <c r="C72" s="58" t="s">
        <v>65</v>
      </c>
      <c r="D72" s="25">
        <v>42124</v>
      </c>
      <c r="E72" s="25">
        <v>1829</v>
      </c>
      <c r="F72" s="47">
        <f t="shared" si="7"/>
        <v>43953</v>
      </c>
      <c r="G72" s="25">
        <f t="shared" si="8"/>
        <v>3767851.36</v>
      </c>
      <c r="H72" s="48">
        <f t="shared" si="5"/>
        <v>-58.783374253241348</v>
      </c>
      <c r="I72" s="25">
        <f>+I71+636418.75</f>
        <v>9141581.3200000003</v>
      </c>
      <c r="J72" s="21"/>
    </row>
    <row r="73" spans="2:10" x14ac:dyDescent="0.35">
      <c r="B73" s="40">
        <v>15</v>
      </c>
      <c r="C73" s="38" t="s">
        <v>66</v>
      </c>
      <c r="D73" s="25">
        <v>10807</v>
      </c>
      <c r="E73" s="25">
        <v>0</v>
      </c>
      <c r="F73" s="47">
        <f t="shared" si="7"/>
        <v>10807</v>
      </c>
      <c r="G73" s="25">
        <f t="shared" si="8"/>
        <v>3778658.36</v>
      </c>
      <c r="H73" s="48">
        <f t="shared" si="5"/>
        <v>-59.605855492044171</v>
      </c>
      <c r="I73" s="25">
        <f>+I72+212889.25</f>
        <v>9354470.5700000003</v>
      </c>
      <c r="J73" s="21"/>
    </row>
    <row r="74" spans="2:10" x14ac:dyDescent="0.35">
      <c r="B74" s="40">
        <v>16</v>
      </c>
      <c r="C74" s="38" t="s">
        <v>67</v>
      </c>
      <c r="D74" s="25">
        <v>154714</v>
      </c>
      <c r="E74" s="25">
        <v>0</v>
      </c>
      <c r="F74" s="47">
        <f t="shared" si="7"/>
        <v>154714</v>
      </c>
      <c r="G74" s="25">
        <f t="shared" si="8"/>
        <v>3933372.36</v>
      </c>
      <c r="H74" s="48">
        <f t="shared" si="5"/>
        <v>-59.418036355308516</v>
      </c>
      <c r="I74" s="25">
        <v>9692415.0700000003</v>
      </c>
      <c r="J74" s="21"/>
    </row>
    <row r="75" spans="2:10" x14ac:dyDescent="0.35">
      <c r="B75" s="40">
        <v>17</v>
      </c>
      <c r="C75" s="38" t="s">
        <v>68</v>
      </c>
      <c r="D75" s="25">
        <v>6027</v>
      </c>
      <c r="E75" s="25">
        <v>18913.5</v>
      </c>
      <c r="F75" s="47">
        <f t="shared" si="7"/>
        <v>24940.5</v>
      </c>
      <c r="G75" s="25">
        <f t="shared" si="8"/>
        <v>3958312.86</v>
      </c>
      <c r="H75" s="48">
        <f t="shared" si="5"/>
        <v>-59.755661219988667</v>
      </c>
      <c r="I75" s="25">
        <v>9835701.0700000003</v>
      </c>
      <c r="J75" s="21"/>
    </row>
    <row r="76" spans="2:10" x14ac:dyDescent="0.35">
      <c r="B76" s="40">
        <v>18</v>
      </c>
      <c r="C76" s="38" t="s">
        <v>69</v>
      </c>
      <c r="D76" s="25">
        <v>21416.5</v>
      </c>
      <c r="E76" s="25">
        <v>0</v>
      </c>
      <c r="F76" s="47">
        <f t="shared" si="7"/>
        <v>21416.5</v>
      </c>
      <c r="G76" s="25">
        <f t="shared" si="8"/>
        <v>3979729.36</v>
      </c>
      <c r="H76" s="48">
        <f t="shared" si="5"/>
        <v>-60.340355389150623</v>
      </c>
      <c r="I76" s="25">
        <f>+I75+199006.5</f>
        <v>10034707.57</v>
      </c>
      <c r="J76" s="21"/>
    </row>
    <row r="77" spans="2:10" x14ac:dyDescent="0.35">
      <c r="B77" s="40">
        <v>19</v>
      </c>
      <c r="C77" s="38" t="s">
        <v>70</v>
      </c>
      <c r="D77" s="25">
        <v>2458</v>
      </c>
      <c r="E77" s="25">
        <v>0</v>
      </c>
      <c r="F77" s="47">
        <f t="shared" si="7"/>
        <v>2458</v>
      </c>
      <c r="G77" s="25">
        <f t="shared" si="8"/>
        <v>3982187.36</v>
      </c>
      <c r="H77" s="48">
        <f t="shared" si="5"/>
        <v>-60.655976561281364</v>
      </c>
      <c r="I77" s="25">
        <f>+I76+86746.75</f>
        <v>10121454.32</v>
      </c>
      <c r="J77" s="21"/>
    </row>
    <row r="78" spans="2:10" x14ac:dyDescent="0.35">
      <c r="B78" s="40">
        <v>20</v>
      </c>
      <c r="C78" s="38" t="s">
        <v>71</v>
      </c>
      <c r="D78" s="25">
        <v>15988</v>
      </c>
      <c r="E78" s="25">
        <v>0</v>
      </c>
      <c r="F78" s="47">
        <f t="shared" si="7"/>
        <v>15988</v>
      </c>
      <c r="G78" s="25">
        <f t="shared" si="8"/>
        <v>3998175.36</v>
      </c>
      <c r="H78" s="48">
        <f t="shared" si="5"/>
        <v>-60.659881064706553</v>
      </c>
      <c r="I78" s="25">
        <f>+I77+41645</f>
        <v>10163099.32</v>
      </c>
      <c r="J78" s="21"/>
    </row>
    <row r="79" spans="2:10" x14ac:dyDescent="0.35">
      <c r="B79" s="40">
        <v>21</v>
      </c>
      <c r="C79" s="38" t="s">
        <v>72</v>
      </c>
      <c r="D79" s="25">
        <v>0</v>
      </c>
      <c r="E79" s="25">
        <v>0</v>
      </c>
      <c r="F79" s="47">
        <f t="shared" si="7"/>
        <v>0</v>
      </c>
      <c r="G79" s="25">
        <f t="shared" si="8"/>
        <v>3998175.36</v>
      </c>
      <c r="H79" s="48">
        <f t="shared" si="5"/>
        <v>-60.680005137770898</v>
      </c>
      <c r="I79" s="25">
        <f>+I78+5201.5</f>
        <v>10168300.82</v>
      </c>
      <c r="J79" s="21"/>
    </row>
    <row r="80" spans="2:10" x14ac:dyDescent="0.35">
      <c r="B80" s="40">
        <v>22</v>
      </c>
      <c r="C80" s="38" t="s">
        <v>73</v>
      </c>
      <c r="D80" s="25">
        <v>15319</v>
      </c>
      <c r="E80" s="25">
        <v>0</v>
      </c>
      <c r="F80" s="47">
        <f t="shared" si="7"/>
        <v>15319</v>
      </c>
      <c r="G80" s="25">
        <f t="shared" si="8"/>
        <v>4013494.36</v>
      </c>
      <c r="H80" s="48">
        <f t="shared" si="5"/>
        <v>-60.530623095437022</v>
      </c>
      <c r="I80" s="25">
        <f>+I79+327.81</f>
        <v>10168628.630000001</v>
      </c>
      <c r="J80" s="21"/>
    </row>
    <row r="81" spans="2:10" x14ac:dyDescent="0.35">
      <c r="B81" s="40">
        <v>23</v>
      </c>
      <c r="C81" s="38" t="s">
        <v>80</v>
      </c>
      <c r="D81" s="25">
        <v>7083.5</v>
      </c>
      <c r="E81" s="25">
        <v>0</v>
      </c>
      <c r="F81" s="47">
        <f t="shared" si="7"/>
        <v>7083.5</v>
      </c>
      <c r="G81" s="25">
        <f t="shared" si="8"/>
        <v>4020577.86</v>
      </c>
      <c r="H81" s="48">
        <f t="shared" si="5"/>
        <v>-60.467136480258056</v>
      </c>
      <c r="I81" s="25">
        <f>+I80+1588</f>
        <v>10170216.630000001</v>
      </c>
      <c r="J81" s="21"/>
    </row>
    <row r="82" spans="2:10" x14ac:dyDescent="0.35">
      <c r="B82" s="40">
        <v>24</v>
      </c>
      <c r="C82" s="38" t="s">
        <v>75</v>
      </c>
      <c r="D82" s="25">
        <v>0</v>
      </c>
      <c r="E82" s="25">
        <v>0</v>
      </c>
      <c r="F82" s="47">
        <f t="shared" si="7"/>
        <v>0</v>
      </c>
      <c r="G82" s="25">
        <f t="shared" si="8"/>
        <v>4020577.86</v>
      </c>
      <c r="H82" s="48">
        <f t="shared" si="5"/>
        <v>-60.477869521824701</v>
      </c>
      <c r="I82" s="25">
        <f>+I81+2761.93</f>
        <v>10172978.560000001</v>
      </c>
      <c r="J82" s="21"/>
    </row>
    <row r="83" spans="2:10" x14ac:dyDescent="0.35">
      <c r="B83" s="40">
        <v>25</v>
      </c>
      <c r="C83" s="77" t="s">
        <v>76</v>
      </c>
      <c r="D83" s="25">
        <v>4149</v>
      </c>
      <c r="E83" s="25">
        <v>0</v>
      </c>
      <c r="F83" s="47">
        <f t="shared" si="7"/>
        <v>4149</v>
      </c>
      <c r="G83" s="25">
        <f t="shared" si="8"/>
        <v>4024726.86</v>
      </c>
      <c r="H83" s="48">
        <f t="shared" si="5"/>
        <v>-60.437085006497846</v>
      </c>
      <c r="I83" s="25">
        <f>+I82+0</f>
        <v>10172978.560000001</v>
      </c>
      <c r="J83" s="21"/>
    </row>
    <row r="84" spans="2:10" x14ac:dyDescent="0.35">
      <c r="B84" s="111">
        <v>26</v>
      </c>
      <c r="C84" s="112" t="s">
        <v>77</v>
      </c>
      <c r="D84" s="105">
        <v>15308</v>
      </c>
      <c r="E84" s="106">
        <v>0</v>
      </c>
      <c r="F84" s="107">
        <f t="shared" si="7"/>
        <v>15308</v>
      </c>
      <c r="G84" s="106">
        <f t="shared" si="8"/>
        <v>4040034.86</v>
      </c>
      <c r="H84" s="48">
        <f t="shared" si="5"/>
        <v>-60.28660793717431</v>
      </c>
      <c r="I84" s="25">
        <f>+I83+0</f>
        <v>10172978.560000001</v>
      </c>
      <c r="J84" s="21"/>
    </row>
    <row r="85" spans="2:10" x14ac:dyDescent="0.35">
      <c r="B85" s="111">
        <v>27</v>
      </c>
      <c r="C85" s="77" t="s">
        <v>81</v>
      </c>
      <c r="D85" s="119">
        <v>0</v>
      </c>
      <c r="E85" s="120">
        <v>0</v>
      </c>
      <c r="F85" s="121">
        <f t="shared" si="7"/>
        <v>0</v>
      </c>
      <c r="G85" s="120">
        <f t="shared" si="8"/>
        <v>4040034.86</v>
      </c>
      <c r="H85" s="48">
        <f t="shared" si="5"/>
        <v>-60.28660793717431</v>
      </c>
      <c r="I85" s="25">
        <f>+I84+0</f>
        <v>10172978.560000001</v>
      </c>
      <c r="J85" s="21"/>
    </row>
    <row r="86" spans="2:10" x14ac:dyDescent="0.35">
      <c r="B86" s="110">
        <v>28</v>
      </c>
      <c r="C86" s="77" t="s">
        <v>87</v>
      </c>
      <c r="D86" s="108">
        <v>2926</v>
      </c>
      <c r="E86" s="108">
        <v>-11506.5</v>
      </c>
      <c r="F86" s="109">
        <f t="shared" si="7"/>
        <v>-8580.5</v>
      </c>
      <c r="G86" s="109">
        <f t="shared" si="8"/>
        <v>4031454.36</v>
      </c>
      <c r="H86" s="48">
        <f t="shared" si="5"/>
        <v>-60.370953932296509</v>
      </c>
      <c r="I86" s="25">
        <f>+I85+0</f>
        <v>10172978.560000001</v>
      </c>
      <c r="J86" s="21"/>
    </row>
    <row r="87" spans="2:10" hidden="1" x14ac:dyDescent="0.35">
      <c r="B87" s="40">
        <v>29</v>
      </c>
      <c r="C87" s="16" t="s">
        <v>27</v>
      </c>
      <c r="D87" s="23"/>
      <c r="E87" s="23"/>
      <c r="F87" s="24">
        <f t="shared" ref="F87:F100" si="9">+E87+D87</f>
        <v>0</v>
      </c>
      <c r="G87" s="23">
        <f t="shared" ref="G87:G97" si="10">+G86+F87</f>
        <v>4031454.36</v>
      </c>
      <c r="H87" s="11">
        <v>0</v>
      </c>
      <c r="I87" s="25">
        <v>0</v>
      </c>
      <c r="J87" s="21"/>
    </row>
    <row r="88" spans="2:10" hidden="1" x14ac:dyDescent="0.35">
      <c r="B88" s="40">
        <v>30</v>
      </c>
      <c r="C88" s="16" t="s">
        <v>28</v>
      </c>
      <c r="D88" s="23"/>
      <c r="E88" s="23"/>
      <c r="F88" s="24">
        <f t="shared" si="9"/>
        <v>0</v>
      </c>
      <c r="G88" s="23">
        <f t="shared" si="10"/>
        <v>4031454.36</v>
      </c>
      <c r="H88" s="11">
        <v>0</v>
      </c>
      <c r="I88" s="25">
        <v>0</v>
      </c>
      <c r="J88" s="21"/>
    </row>
    <row r="89" spans="2:10" hidden="1" x14ac:dyDescent="0.35">
      <c r="B89" s="40">
        <v>31</v>
      </c>
      <c r="C89" s="16" t="s">
        <v>29</v>
      </c>
      <c r="D89" s="23"/>
      <c r="E89" s="23"/>
      <c r="F89" s="24">
        <f t="shared" si="9"/>
        <v>0</v>
      </c>
      <c r="G89" s="23">
        <f t="shared" si="10"/>
        <v>4031454.36</v>
      </c>
      <c r="H89" s="11">
        <v>0</v>
      </c>
      <c r="I89" s="25">
        <v>0</v>
      </c>
      <c r="J89" s="21"/>
    </row>
    <row r="90" spans="2:10" hidden="1" x14ac:dyDescent="0.35">
      <c r="B90" s="40">
        <v>32</v>
      </c>
      <c r="C90" s="16" t="s">
        <v>30</v>
      </c>
      <c r="D90" s="23"/>
      <c r="E90" s="23"/>
      <c r="F90" s="24">
        <f t="shared" si="9"/>
        <v>0</v>
      </c>
      <c r="G90" s="23">
        <f t="shared" si="10"/>
        <v>4031454.36</v>
      </c>
      <c r="H90" s="11">
        <v>0</v>
      </c>
      <c r="I90" s="25">
        <v>0</v>
      </c>
      <c r="J90" s="21"/>
    </row>
    <row r="91" spans="2:10" hidden="1" x14ac:dyDescent="0.35">
      <c r="B91" s="40">
        <v>33</v>
      </c>
      <c r="C91" s="16" t="s">
        <v>31</v>
      </c>
      <c r="D91" s="23"/>
      <c r="E91" s="23"/>
      <c r="F91" s="24">
        <f t="shared" si="9"/>
        <v>0</v>
      </c>
      <c r="G91" s="23">
        <f t="shared" si="10"/>
        <v>4031454.36</v>
      </c>
      <c r="H91" s="11">
        <v>0</v>
      </c>
      <c r="I91" s="25">
        <v>0</v>
      </c>
      <c r="J91" s="21"/>
    </row>
    <row r="92" spans="2:10" hidden="1" x14ac:dyDescent="0.35">
      <c r="B92" s="40">
        <v>34</v>
      </c>
      <c r="C92" s="17" t="s">
        <v>32</v>
      </c>
      <c r="D92" s="23"/>
      <c r="E92" s="23"/>
      <c r="F92" s="24">
        <f t="shared" si="9"/>
        <v>0</v>
      </c>
      <c r="G92" s="23">
        <f t="shared" si="10"/>
        <v>4031454.36</v>
      </c>
      <c r="H92" s="11">
        <v>0</v>
      </c>
      <c r="I92" s="25">
        <v>0</v>
      </c>
      <c r="J92" s="21"/>
    </row>
    <row r="93" spans="2:10" hidden="1" x14ac:dyDescent="0.35">
      <c r="B93" s="40">
        <v>35</v>
      </c>
      <c r="C93" s="27" t="s">
        <v>33</v>
      </c>
      <c r="D93" s="28"/>
      <c r="E93" s="28"/>
      <c r="F93" s="29">
        <f t="shared" si="9"/>
        <v>0</v>
      </c>
      <c r="G93" s="28">
        <f t="shared" si="10"/>
        <v>4031454.36</v>
      </c>
      <c r="H93" s="30">
        <v>0</v>
      </c>
      <c r="I93" s="31">
        <v>0</v>
      </c>
      <c r="J93" s="21"/>
    </row>
    <row r="94" spans="2:10" hidden="1" x14ac:dyDescent="0.35">
      <c r="B94" s="40">
        <v>36</v>
      </c>
      <c r="C94" s="16" t="s">
        <v>27</v>
      </c>
      <c r="D94" s="23"/>
      <c r="E94" s="23"/>
      <c r="F94" s="24">
        <f t="shared" si="9"/>
        <v>0</v>
      </c>
      <c r="G94" s="23">
        <f t="shared" si="10"/>
        <v>4031454.36</v>
      </c>
      <c r="H94" s="11">
        <v>0</v>
      </c>
      <c r="I94" s="25">
        <v>0</v>
      </c>
      <c r="J94" s="21"/>
    </row>
    <row r="95" spans="2:10" hidden="1" x14ac:dyDescent="0.35">
      <c r="B95" s="40">
        <v>37</v>
      </c>
      <c r="C95" s="16" t="s">
        <v>28</v>
      </c>
      <c r="D95" s="23"/>
      <c r="E95" s="23"/>
      <c r="F95" s="24">
        <f t="shared" si="9"/>
        <v>0</v>
      </c>
      <c r="G95" s="23">
        <f t="shared" si="10"/>
        <v>4031454.36</v>
      </c>
      <c r="H95" s="11">
        <v>0</v>
      </c>
      <c r="I95" s="25">
        <v>0</v>
      </c>
      <c r="J95" s="21"/>
    </row>
    <row r="96" spans="2:10" hidden="1" x14ac:dyDescent="0.35">
      <c r="B96" s="40">
        <v>38</v>
      </c>
      <c r="C96" s="16" t="s">
        <v>29</v>
      </c>
      <c r="D96" s="23"/>
      <c r="E96" s="23"/>
      <c r="F96" s="24">
        <f t="shared" si="9"/>
        <v>0</v>
      </c>
      <c r="G96" s="23">
        <f t="shared" si="10"/>
        <v>4031454.36</v>
      </c>
      <c r="H96" s="11">
        <v>0</v>
      </c>
      <c r="I96" s="25">
        <v>0</v>
      </c>
      <c r="J96" s="21"/>
    </row>
    <row r="97" spans="2:10" hidden="1" x14ac:dyDescent="0.35">
      <c r="B97" s="40">
        <v>39</v>
      </c>
      <c r="C97" s="16" t="s">
        <v>30</v>
      </c>
      <c r="D97" s="23"/>
      <c r="E97" s="23"/>
      <c r="F97" s="24">
        <f t="shared" si="9"/>
        <v>0</v>
      </c>
      <c r="G97" s="23">
        <f t="shared" si="10"/>
        <v>4031454.36</v>
      </c>
      <c r="H97" s="11">
        <v>0</v>
      </c>
      <c r="I97" s="25">
        <v>0</v>
      </c>
      <c r="J97" s="21"/>
    </row>
    <row r="98" spans="2:10" hidden="1" x14ac:dyDescent="0.35">
      <c r="B98" s="40">
        <v>40</v>
      </c>
      <c r="C98" s="16" t="s">
        <v>31</v>
      </c>
      <c r="D98" s="23"/>
      <c r="E98" s="23"/>
      <c r="F98" s="24">
        <f t="shared" si="9"/>
        <v>0</v>
      </c>
      <c r="G98" s="23">
        <f>+G81+F98</f>
        <v>4020577.86</v>
      </c>
      <c r="H98" s="11">
        <v>0</v>
      </c>
      <c r="I98" s="25">
        <v>0</v>
      </c>
      <c r="J98" s="21"/>
    </row>
    <row r="99" spans="2:10" hidden="1" x14ac:dyDescent="0.35">
      <c r="B99" s="40">
        <v>41</v>
      </c>
      <c r="C99" s="17"/>
      <c r="D99" s="23"/>
      <c r="E99" s="23"/>
      <c r="F99" s="24"/>
      <c r="G99" s="23"/>
      <c r="H99" s="11"/>
      <c r="I99" s="25"/>
      <c r="J99" s="21"/>
    </row>
    <row r="100" spans="2:10" hidden="1" x14ac:dyDescent="0.35">
      <c r="B100" s="40">
        <v>42</v>
      </c>
      <c r="C100" s="17" t="s">
        <v>32</v>
      </c>
      <c r="D100" s="23"/>
      <c r="E100" s="23"/>
      <c r="F100" s="24">
        <f t="shared" si="9"/>
        <v>0</v>
      </c>
      <c r="G100" s="23">
        <f>+G98+F100</f>
        <v>4020577.86</v>
      </c>
      <c r="H100" s="11">
        <v>0</v>
      </c>
      <c r="I100" s="25">
        <v>0</v>
      </c>
      <c r="J100" s="21"/>
    </row>
    <row r="101" spans="2:10" x14ac:dyDescent="0.35">
      <c r="B101" s="5"/>
      <c r="C101" s="5"/>
      <c r="D101" s="6"/>
      <c r="E101" s="6"/>
      <c r="F101" s="6"/>
      <c r="G101" s="6"/>
      <c r="H101" s="7"/>
      <c r="I101" s="6"/>
      <c r="J101" s="5"/>
    </row>
    <row r="102" spans="2:10" x14ac:dyDescent="0.35">
      <c r="B102" s="8" t="s">
        <v>34</v>
      </c>
      <c r="C102" s="5"/>
      <c r="D102" s="5"/>
      <c r="E102" s="5"/>
      <c r="F102" s="5"/>
      <c r="G102" s="5"/>
      <c r="H102" s="5"/>
      <c r="I102" s="5"/>
      <c r="J102" s="5"/>
    </row>
    <row r="103" spans="2:10" x14ac:dyDescent="0.35">
      <c r="B103" s="9" t="s">
        <v>35</v>
      </c>
      <c r="C103" s="5"/>
      <c r="D103" s="5"/>
      <c r="E103" s="5"/>
      <c r="F103" s="5"/>
      <c r="G103" s="5"/>
      <c r="H103" s="5"/>
      <c r="I103" s="5"/>
      <c r="J103" s="5"/>
    </row>
    <row r="104" spans="2:10" x14ac:dyDescent="0.35">
      <c r="B104" s="9" t="s">
        <v>36</v>
      </c>
      <c r="C104" s="5"/>
      <c r="D104" s="5"/>
      <c r="E104" s="5"/>
      <c r="F104" s="5"/>
      <c r="G104" s="5"/>
      <c r="H104" s="5"/>
      <c r="I104" s="5"/>
      <c r="J104" s="5"/>
    </row>
    <row r="105" spans="2:10" x14ac:dyDescent="0.35">
      <c r="B105" s="9" t="s">
        <v>37</v>
      </c>
      <c r="C105" s="5"/>
      <c r="D105" s="5"/>
      <c r="E105" s="5"/>
      <c r="F105" s="5"/>
      <c r="G105" s="5"/>
      <c r="H105" s="5"/>
      <c r="I105" s="5"/>
      <c r="J105" s="5"/>
    </row>
    <row r="106" spans="2:10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0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0" ht="18.5" x14ac:dyDescent="0.45">
      <c r="B108" s="10"/>
      <c r="C108" s="10"/>
      <c r="D108" s="178" t="s">
        <v>40</v>
      </c>
      <c r="E108" s="178"/>
      <c r="F108" s="178"/>
      <c r="G108" s="178"/>
      <c r="H108" s="178"/>
      <c r="I108" s="178"/>
      <c r="J108" s="10"/>
    </row>
    <row r="109" spans="2:10" s="35" customFormat="1" ht="16" x14ac:dyDescent="0.4">
      <c r="B109" s="26"/>
      <c r="C109" s="26"/>
      <c r="D109" s="179" t="s">
        <v>44</v>
      </c>
      <c r="E109" s="179"/>
      <c r="F109" s="179"/>
      <c r="G109" s="179"/>
      <c r="H109" s="179"/>
      <c r="I109" s="179"/>
      <c r="J109" s="26"/>
    </row>
    <row r="110" spans="2:10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0" ht="14.4" customHeight="1" x14ac:dyDescent="0.35">
      <c r="B111" s="14"/>
      <c r="C111" s="15"/>
      <c r="D111" s="174" t="s">
        <v>6</v>
      </c>
      <c r="E111" s="175"/>
      <c r="F111" s="175"/>
      <c r="G111" s="176"/>
      <c r="H111" s="166" t="s">
        <v>7</v>
      </c>
      <c r="I111" s="167"/>
      <c r="J111" s="4"/>
    </row>
    <row r="112" spans="2:10" x14ac:dyDescent="0.35">
      <c r="B112" s="12"/>
      <c r="C112" s="13"/>
      <c r="D112" s="170" t="s">
        <v>9</v>
      </c>
      <c r="E112" s="171"/>
      <c r="F112" s="171"/>
      <c r="G112" s="172"/>
      <c r="H112" s="168"/>
      <c r="I112" s="169"/>
      <c r="J112" s="4"/>
    </row>
    <row r="113" spans="2:10" ht="14.4" customHeight="1" x14ac:dyDescent="0.35">
      <c r="B113" s="133" t="s">
        <v>10</v>
      </c>
      <c r="C113" s="135" t="s">
        <v>11</v>
      </c>
      <c r="D113" s="18" t="s">
        <v>12</v>
      </c>
      <c r="E113" s="18" t="s">
        <v>13</v>
      </c>
      <c r="F113" s="18" t="s">
        <v>14</v>
      </c>
      <c r="G113" s="18" t="s">
        <v>15</v>
      </c>
      <c r="H113" s="161" t="s">
        <v>16</v>
      </c>
      <c r="I113" s="135" t="s">
        <v>17</v>
      </c>
      <c r="J113" s="19"/>
    </row>
    <row r="114" spans="2:10" ht="38.4" customHeight="1" x14ac:dyDescent="0.35">
      <c r="B114" s="134"/>
      <c r="C114" s="136"/>
      <c r="D114" s="163" t="s">
        <v>20</v>
      </c>
      <c r="E114" s="164"/>
      <c r="F114" s="164"/>
      <c r="G114" s="165"/>
      <c r="H114" s="162"/>
      <c r="I114" s="136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e">
        <f t="shared" ref="H115:H132" si="11">((G115-I115)/I115)*100</f>
        <v>#DIV/0!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0</v>
      </c>
      <c r="E116" s="25">
        <v>0</v>
      </c>
      <c r="F116" s="47">
        <f>+E116+D116</f>
        <v>0</v>
      </c>
      <c r="G116" s="25">
        <f>+G115+F116</f>
        <v>0</v>
      </c>
      <c r="H116" s="48" t="e">
        <f t="shared" si="11"/>
        <v>#DIV/0!</v>
      </c>
      <c r="I116" s="25">
        <v>0</v>
      </c>
      <c r="J116" s="21"/>
    </row>
    <row r="117" spans="2:10" x14ac:dyDescent="0.35">
      <c r="B117" s="40">
        <v>6</v>
      </c>
      <c r="C117" s="38" t="s">
        <v>23</v>
      </c>
      <c r="D117" s="25">
        <v>0</v>
      </c>
      <c r="E117" s="25">
        <v>0</v>
      </c>
      <c r="F117" s="47">
        <f>+E117+D117</f>
        <v>0</v>
      </c>
      <c r="G117" s="25">
        <f t="shared" ref="G117" si="12">+G116+F117</f>
        <v>0</v>
      </c>
      <c r="H117" s="48" t="e">
        <f t="shared" si="11"/>
        <v>#DIV/0!</v>
      </c>
      <c r="I117" s="25">
        <v>0</v>
      </c>
      <c r="J117" s="21"/>
    </row>
    <row r="118" spans="2:10" x14ac:dyDescent="0.35">
      <c r="B118" s="40">
        <v>7</v>
      </c>
      <c r="C118" s="38" t="s">
        <v>24</v>
      </c>
      <c r="D118" s="25">
        <v>1122</v>
      </c>
      <c r="E118" s="25">
        <v>161862</v>
      </c>
      <c r="F118" s="47">
        <f t="shared" ref="F118:F129" si="13">+E118+D118</f>
        <v>162984</v>
      </c>
      <c r="G118" s="25">
        <f>+G117+F118</f>
        <v>162984</v>
      </c>
      <c r="H118" s="48" t="e">
        <f t="shared" si="11"/>
        <v>#DIV/0!</v>
      </c>
      <c r="I118" s="25">
        <v>0</v>
      </c>
      <c r="J118" s="21"/>
    </row>
    <row r="119" spans="2:10" x14ac:dyDescent="0.35">
      <c r="B119" s="40">
        <v>8</v>
      </c>
      <c r="C119" s="38" t="s">
        <v>25</v>
      </c>
      <c r="D119" s="25">
        <v>0</v>
      </c>
      <c r="E119" s="25">
        <v>0</v>
      </c>
      <c r="F119" s="47">
        <f t="shared" si="13"/>
        <v>0</v>
      </c>
      <c r="G119" s="25">
        <f t="shared" ref="G119:G139" si="14">+G118+F119</f>
        <v>162984</v>
      </c>
      <c r="H119" s="48" t="e">
        <f t="shared" si="11"/>
        <v>#DIV/0!</v>
      </c>
      <c r="I119" s="25">
        <v>0</v>
      </c>
      <c r="J119" s="21"/>
    </row>
    <row r="120" spans="2:10" x14ac:dyDescent="0.35">
      <c r="B120" s="40">
        <v>9</v>
      </c>
      <c r="C120" s="38" t="s">
        <v>26</v>
      </c>
      <c r="D120" s="23">
        <v>2454</v>
      </c>
      <c r="E120" s="25">
        <v>0</v>
      </c>
      <c r="F120" s="47">
        <f t="shared" si="13"/>
        <v>2454</v>
      </c>
      <c r="G120" s="25">
        <f t="shared" si="14"/>
        <v>165438</v>
      </c>
      <c r="H120" s="48" t="e">
        <f t="shared" si="11"/>
        <v>#DIV/0!</v>
      </c>
      <c r="I120" s="25">
        <v>0</v>
      </c>
      <c r="J120" s="21"/>
    </row>
    <row r="121" spans="2:10" x14ac:dyDescent="0.35">
      <c r="B121" s="40">
        <v>10</v>
      </c>
      <c r="C121" s="38" t="s">
        <v>62</v>
      </c>
      <c r="D121" s="25">
        <v>0</v>
      </c>
      <c r="E121" s="25">
        <v>0</v>
      </c>
      <c r="F121" s="47">
        <f t="shared" si="13"/>
        <v>0</v>
      </c>
      <c r="G121" s="25">
        <f t="shared" si="14"/>
        <v>165438</v>
      </c>
      <c r="H121" s="48" t="e">
        <f t="shared" si="11"/>
        <v>#DIV/0!</v>
      </c>
      <c r="I121" s="25">
        <v>0</v>
      </c>
      <c r="J121" s="21"/>
    </row>
    <row r="122" spans="2:10" x14ac:dyDescent="0.35">
      <c r="B122" s="40">
        <v>11</v>
      </c>
      <c r="C122" s="38" t="s">
        <v>63</v>
      </c>
      <c r="D122" s="25">
        <v>0</v>
      </c>
      <c r="E122" s="25">
        <v>0</v>
      </c>
      <c r="F122" s="47">
        <f t="shared" si="13"/>
        <v>0</v>
      </c>
      <c r="G122" s="25">
        <f t="shared" si="14"/>
        <v>165438</v>
      </c>
      <c r="H122" s="48" t="e">
        <f t="shared" si="11"/>
        <v>#DIV/0!</v>
      </c>
      <c r="I122" s="25">
        <v>0</v>
      </c>
      <c r="J122" s="21"/>
    </row>
    <row r="123" spans="2:10" x14ac:dyDescent="0.35">
      <c r="B123" s="40">
        <v>12</v>
      </c>
      <c r="C123" s="38" t="s">
        <v>78</v>
      </c>
      <c r="D123" s="25">
        <v>0</v>
      </c>
      <c r="E123" s="25">
        <v>0</v>
      </c>
      <c r="F123" s="47">
        <f t="shared" si="13"/>
        <v>0</v>
      </c>
      <c r="G123" s="25">
        <f t="shared" si="14"/>
        <v>165438</v>
      </c>
      <c r="H123" s="48" t="e">
        <f t="shared" si="11"/>
        <v>#DIV/0!</v>
      </c>
      <c r="I123" s="25">
        <v>0</v>
      </c>
      <c r="J123" s="21"/>
    </row>
    <row r="124" spans="2:10" x14ac:dyDescent="0.35">
      <c r="B124" s="40">
        <v>13</v>
      </c>
      <c r="C124" s="38" t="s">
        <v>64</v>
      </c>
      <c r="D124" s="25">
        <v>0</v>
      </c>
      <c r="E124" s="25">
        <v>0</v>
      </c>
      <c r="F124" s="47">
        <f t="shared" si="13"/>
        <v>0</v>
      </c>
      <c r="G124" s="25">
        <f t="shared" si="14"/>
        <v>165438</v>
      </c>
      <c r="H124" s="48" t="e">
        <f t="shared" si="11"/>
        <v>#DIV/0!</v>
      </c>
      <c r="I124" s="25">
        <v>0</v>
      </c>
      <c r="J124" s="21"/>
    </row>
    <row r="125" spans="2:10" x14ac:dyDescent="0.35">
      <c r="B125" s="40">
        <v>14</v>
      </c>
      <c r="C125" s="58" t="s">
        <v>65</v>
      </c>
      <c r="D125" s="25">
        <v>0</v>
      </c>
      <c r="E125" s="25">
        <v>0</v>
      </c>
      <c r="F125" s="47">
        <f t="shared" si="13"/>
        <v>0</v>
      </c>
      <c r="G125" s="25">
        <f t="shared" si="14"/>
        <v>165438</v>
      </c>
      <c r="H125" s="48" t="e">
        <f t="shared" si="11"/>
        <v>#DIV/0!</v>
      </c>
      <c r="I125" s="25">
        <v>0</v>
      </c>
      <c r="J125" s="21"/>
    </row>
    <row r="126" spans="2:10" x14ac:dyDescent="0.35">
      <c r="B126" s="40">
        <v>15</v>
      </c>
      <c r="C126" s="38" t="s">
        <v>66</v>
      </c>
      <c r="D126" s="25">
        <v>0</v>
      </c>
      <c r="E126" s="25">
        <v>0</v>
      </c>
      <c r="F126" s="47">
        <f t="shared" si="13"/>
        <v>0</v>
      </c>
      <c r="G126" s="25">
        <f t="shared" si="14"/>
        <v>165438</v>
      </c>
      <c r="H126" s="48" t="e">
        <f t="shared" si="11"/>
        <v>#DIV/0!</v>
      </c>
      <c r="I126" s="25">
        <v>0</v>
      </c>
      <c r="J126" s="21"/>
    </row>
    <row r="127" spans="2:10" x14ac:dyDescent="0.35">
      <c r="B127" s="40">
        <v>16</v>
      </c>
      <c r="C127" s="38" t="s">
        <v>67</v>
      </c>
      <c r="D127" s="25">
        <v>0</v>
      </c>
      <c r="E127" s="25">
        <v>0</v>
      </c>
      <c r="F127" s="47">
        <f t="shared" si="13"/>
        <v>0</v>
      </c>
      <c r="G127" s="25">
        <f t="shared" si="14"/>
        <v>165438</v>
      </c>
      <c r="H127" s="48" t="e">
        <f t="shared" si="11"/>
        <v>#DIV/0!</v>
      </c>
      <c r="I127" s="25">
        <v>0</v>
      </c>
      <c r="J127" s="21"/>
    </row>
    <row r="128" spans="2:10" x14ac:dyDescent="0.35">
      <c r="B128" s="40">
        <v>17</v>
      </c>
      <c r="C128" s="38" t="s">
        <v>68</v>
      </c>
      <c r="D128" s="25">
        <v>0</v>
      </c>
      <c r="E128" s="25">
        <v>0</v>
      </c>
      <c r="F128" s="47">
        <f t="shared" si="13"/>
        <v>0</v>
      </c>
      <c r="G128" s="25">
        <f t="shared" si="14"/>
        <v>165438</v>
      </c>
      <c r="H128" s="48" t="e">
        <f t="shared" si="11"/>
        <v>#DIV/0!</v>
      </c>
      <c r="I128" s="25">
        <v>0</v>
      </c>
      <c r="J128" s="21"/>
    </row>
    <row r="129" spans="2:10" x14ac:dyDescent="0.35">
      <c r="B129" s="40">
        <v>18</v>
      </c>
      <c r="C129" s="38" t="s">
        <v>69</v>
      </c>
      <c r="D129" s="25">
        <v>0</v>
      </c>
      <c r="E129" s="25">
        <v>0</v>
      </c>
      <c r="F129" s="47">
        <f t="shared" si="13"/>
        <v>0</v>
      </c>
      <c r="G129" s="25">
        <f t="shared" si="14"/>
        <v>165438</v>
      </c>
      <c r="H129" s="48" t="e">
        <f t="shared" si="11"/>
        <v>#DIV/0!</v>
      </c>
      <c r="I129" s="25">
        <v>0</v>
      </c>
      <c r="J129" s="21"/>
    </row>
    <row r="130" spans="2:10" x14ac:dyDescent="0.35">
      <c r="B130" s="40">
        <v>19</v>
      </c>
      <c r="C130" s="38" t="s">
        <v>70</v>
      </c>
      <c r="D130" s="25">
        <v>128</v>
      </c>
      <c r="E130" s="25">
        <v>0</v>
      </c>
      <c r="F130" s="47">
        <f>+E130+D130</f>
        <v>128</v>
      </c>
      <c r="G130" s="25">
        <f t="shared" si="14"/>
        <v>165566</v>
      </c>
      <c r="H130" s="48" t="e">
        <f t="shared" si="11"/>
        <v>#DIV/0!</v>
      </c>
      <c r="I130" s="25">
        <v>0</v>
      </c>
      <c r="J130" s="21"/>
    </row>
    <row r="131" spans="2:10" x14ac:dyDescent="0.35">
      <c r="B131" s="40">
        <v>20</v>
      </c>
      <c r="C131" s="38" t="s">
        <v>71</v>
      </c>
      <c r="D131" s="25">
        <v>0</v>
      </c>
      <c r="E131" s="25">
        <v>0</v>
      </c>
      <c r="F131" s="47">
        <f t="shared" ref="F131:F139" si="15">+E131+D131</f>
        <v>0</v>
      </c>
      <c r="G131" s="25">
        <f t="shared" si="14"/>
        <v>165566</v>
      </c>
      <c r="H131" s="48" t="e">
        <f t="shared" si="11"/>
        <v>#DIV/0!</v>
      </c>
      <c r="I131" s="25">
        <v>0</v>
      </c>
      <c r="J131" s="21"/>
    </row>
    <row r="132" spans="2:10" x14ac:dyDescent="0.35">
      <c r="B132" s="40">
        <v>21</v>
      </c>
      <c r="C132" s="38" t="s">
        <v>72</v>
      </c>
      <c r="D132" s="25">
        <v>0</v>
      </c>
      <c r="E132" s="25">
        <v>0</v>
      </c>
      <c r="F132" s="47">
        <f t="shared" si="15"/>
        <v>0</v>
      </c>
      <c r="G132" s="25">
        <f t="shared" si="14"/>
        <v>165566</v>
      </c>
      <c r="H132" s="48" t="e">
        <f t="shared" si="11"/>
        <v>#DIV/0!</v>
      </c>
      <c r="I132" s="25">
        <v>0</v>
      </c>
      <c r="J132" s="21"/>
    </row>
    <row r="133" spans="2:10" x14ac:dyDescent="0.35">
      <c r="B133" s="40">
        <v>22</v>
      </c>
      <c r="C133" s="38" t="s">
        <v>73</v>
      </c>
      <c r="D133" s="25">
        <v>0</v>
      </c>
      <c r="E133" s="25">
        <v>0</v>
      </c>
      <c r="F133" s="47">
        <f t="shared" si="15"/>
        <v>0</v>
      </c>
      <c r="G133" s="25">
        <f t="shared" si="14"/>
        <v>165566</v>
      </c>
      <c r="H133" s="11" t="e">
        <f>+H132</f>
        <v>#DIV/0!</v>
      </c>
      <c r="I133" s="25">
        <v>0</v>
      </c>
      <c r="J133" s="21"/>
    </row>
    <row r="134" spans="2:10" x14ac:dyDescent="0.35">
      <c r="B134" s="40">
        <v>23</v>
      </c>
      <c r="C134" s="38" t="s">
        <v>80</v>
      </c>
      <c r="D134" s="25">
        <v>0</v>
      </c>
      <c r="E134" s="25">
        <v>0</v>
      </c>
      <c r="F134" s="47">
        <f t="shared" si="15"/>
        <v>0</v>
      </c>
      <c r="G134" s="25">
        <f t="shared" si="14"/>
        <v>165566</v>
      </c>
      <c r="H134" s="11" t="e">
        <f>+H133</f>
        <v>#DIV/0!</v>
      </c>
      <c r="I134" s="25">
        <v>0</v>
      </c>
      <c r="J134" s="21"/>
    </row>
    <row r="135" spans="2:10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15"/>
        <v>0</v>
      </c>
      <c r="G135" s="25">
        <f t="shared" si="14"/>
        <v>165566</v>
      </c>
      <c r="H135" s="11" t="e">
        <f>+H134</f>
        <v>#DIV/0!</v>
      </c>
      <c r="I135" s="25">
        <v>0</v>
      </c>
      <c r="J135" s="21"/>
    </row>
    <row r="136" spans="2:10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15"/>
        <v>0</v>
      </c>
      <c r="G136" s="25">
        <f t="shared" si="14"/>
        <v>165566</v>
      </c>
      <c r="H136" s="48" t="e">
        <f t="shared" ref="H136:H139" si="16">((G136-I136)/I136)*100</f>
        <v>#DIV/0!</v>
      </c>
      <c r="I136" s="25">
        <f>+I135+0</f>
        <v>0</v>
      </c>
      <c r="J136" s="21"/>
    </row>
    <row r="137" spans="2:10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15"/>
        <v>0</v>
      </c>
      <c r="G137" s="106">
        <f t="shared" si="14"/>
        <v>165566</v>
      </c>
      <c r="H137" s="48" t="e">
        <f t="shared" si="16"/>
        <v>#DIV/0!</v>
      </c>
      <c r="I137" s="25">
        <f>+I136+0</f>
        <v>0</v>
      </c>
      <c r="J137" s="21"/>
    </row>
    <row r="138" spans="2:10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15"/>
        <v>0</v>
      </c>
      <c r="G138" s="120">
        <f t="shared" si="14"/>
        <v>165566</v>
      </c>
      <c r="H138" s="48" t="e">
        <f t="shared" si="16"/>
        <v>#DIV/0!</v>
      </c>
      <c r="I138" s="25">
        <f>+I137+0</f>
        <v>0</v>
      </c>
      <c r="J138" s="21"/>
    </row>
    <row r="139" spans="2:10" x14ac:dyDescent="0.35">
      <c r="B139" s="110">
        <v>28</v>
      </c>
      <c r="C139" s="77" t="s">
        <v>87</v>
      </c>
      <c r="D139" s="108">
        <v>0</v>
      </c>
      <c r="E139" s="108">
        <v>-144895</v>
      </c>
      <c r="F139" s="109">
        <f t="shared" si="15"/>
        <v>-144895</v>
      </c>
      <c r="G139" s="109">
        <f t="shared" si="14"/>
        <v>20671</v>
      </c>
      <c r="H139" s="48" t="e">
        <f t="shared" si="16"/>
        <v>#DIV/0!</v>
      </c>
      <c r="I139" s="25">
        <f>+I138+0</f>
        <v>0</v>
      </c>
      <c r="J139" s="21"/>
    </row>
    <row r="140" spans="2:10" hidden="1" x14ac:dyDescent="0.35">
      <c r="B140" s="40">
        <v>29</v>
      </c>
      <c r="C140" s="16" t="s">
        <v>31</v>
      </c>
      <c r="D140" s="23"/>
      <c r="E140" s="23"/>
      <c r="F140" s="24">
        <f t="shared" ref="F140:F142" si="17">+E140+D140</f>
        <v>0</v>
      </c>
      <c r="G140" s="23">
        <f t="shared" ref="G140:G142" si="18">+G139+F140</f>
        <v>20671</v>
      </c>
      <c r="H140" s="11">
        <v>0</v>
      </c>
      <c r="I140" s="25">
        <v>0</v>
      </c>
      <c r="J140" s="21"/>
    </row>
    <row r="141" spans="2:10" hidden="1" x14ac:dyDescent="0.35">
      <c r="B141" s="40">
        <v>30</v>
      </c>
      <c r="C141" s="17" t="s">
        <v>32</v>
      </c>
      <c r="D141" s="23"/>
      <c r="E141" s="23"/>
      <c r="F141" s="24">
        <f t="shared" si="17"/>
        <v>0</v>
      </c>
      <c r="G141" s="23">
        <f t="shared" si="18"/>
        <v>20671</v>
      </c>
      <c r="H141" s="11">
        <v>0</v>
      </c>
      <c r="I141" s="25">
        <v>0</v>
      </c>
      <c r="J141" s="21"/>
    </row>
    <row r="142" spans="2:10" hidden="1" x14ac:dyDescent="0.35">
      <c r="B142" s="40">
        <v>31</v>
      </c>
      <c r="C142" s="27" t="s">
        <v>33</v>
      </c>
      <c r="D142" s="28"/>
      <c r="E142" s="28"/>
      <c r="F142" s="29">
        <f t="shared" si="17"/>
        <v>0</v>
      </c>
      <c r="G142" s="28">
        <f t="shared" si="18"/>
        <v>20671</v>
      </c>
      <c r="H142" s="30">
        <v>0</v>
      </c>
      <c r="I142" s="31">
        <v>0</v>
      </c>
      <c r="J142" s="21"/>
    </row>
    <row r="143" spans="2:10" hidden="1" x14ac:dyDescent="0.35">
      <c r="B143" s="40">
        <v>32</v>
      </c>
      <c r="C143" s="16" t="s">
        <v>27</v>
      </c>
      <c r="D143" s="23"/>
      <c r="E143" s="23"/>
      <c r="F143" s="24">
        <f t="shared" ref="F143:F149" si="19">+E143+D143</f>
        <v>0</v>
      </c>
      <c r="G143" s="23">
        <f t="shared" ref="G143:G149" si="20">+G142+F143</f>
        <v>20671</v>
      </c>
      <c r="H143" s="11">
        <v>0</v>
      </c>
      <c r="I143" s="25">
        <v>0</v>
      </c>
      <c r="J143" s="21"/>
    </row>
    <row r="144" spans="2:10" hidden="1" x14ac:dyDescent="0.35">
      <c r="B144" s="40">
        <v>33</v>
      </c>
      <c r="C144" s="16" t="s">
        <v>28</v>
      </c>
      <c r="D144" s="23"/>
      <c r="E144" s="23"/>
      <c r="F144" s="24">
        <f t="shared" si="19"/>
        <v>0</v>
      </c>
      <c r="G144" s="23">
        <f t="shared" si="20"/>
        <v>20671</v>
      </c>
      <c r="H144" s="11">
        <v>0</v>
      </c>
      <c r="I144" s="25">
        <v>0</v>
      </c>
      <c r="J144" s="21"/>
    </row>
    <row r="145" spans="2:10" hidden="1" x14ac:dyDescent="0.35">
      <c r="B145" s="40">
        <v>34</v>
      </c>
      <c r="C145" s="16" t="s">
        <v>29</v>
      </c>
      <c r="D145" s="23"/>
      <c r="E145" s="23"/>
      <c r="F145" s="24">
        <f t="shared" si="19"/>
        <v>0</v>
      </c>
      <c r="G145" s="23">
        <f t="shared" si="20"/>
        <v>20671</v>
      </c>
      <c r="H145" s="11">
        <v>0</v>
      </c>
      <c r="I145" s="25">
        <v>0</v>
      </c>
      <c r="J145" s="21"/>
    </row>
    <row r="146" spans="2:10" hidden="1" x14ac:dyDescent="0.35">
      <c r="B146" s="40">
        <v>35</v>
      </c>
      <c r="C146" s="16" t="s">
        <v>30</v>
      </c>
      <c r="D146" s="23"/>
      <c r="E146" s="23"/>
      <c r="F146" s="24">
        <f t="shared" si="19"/>
        <v>0</v>
      </c>
      <c r="G146" s="23">
        <f t="shared" si="20"/>
        <v>20671</v>
      </c>
      <c r="H146" s="11">
        <v>0</v>
      </c>
      <c r="I146" s="25">
        <v>0</v>
      </c>
      <c r="J146" s="21"/>
    </row>
    <row r="147" spans="2:10" hidden="1" x14ac:dyDescent="0.35">
      <c r="B147" s="40">
        <v>36</v>
      </c>
      <c r="C147" s="16" t="s">
        <v>31</v>
      </c>
      <c r="D147" s="23"/>
      <c r="E147" s="23"/>
      <c r="F147" s="24">
        <f t="shared" si="19"/>
        <v>0</v>
      </c>
      <c r="G147" s="23">
        <f t="shared" si="20"/>
        <v>20671</v>
      </c>
      <c r="H147" s="11">
        <v>0</v>
      </c>
      <c r="I147" s="25">
        <v>0</v>
      </c>
      <c r="J147" s="21"/>
    </row>
    <row r="148" spans="2:10" hidden="1" x14ac:dyDescent="0.35">
      <c r="B148" s="40">
        <v>37</v>
      </c>
      <c r="C148" s="17" t="s">
        <v>32</v>
      </c>
      <c r="D148" s="23"/>
      <c r="E148" s="23"/>
      <c r="F148" s="24">
        <f t="shared" si="19"/>
        <v>0</v>
      </c>
      <c r="G148" s="23">
        <f t="shared" si="20"/>
        <v>20671</v>
      </c>
      <c r="H148" s="11">
        <v>0</v>
      </c>
      <c r="I148" s="25">
        <v>0</v>
      </c>
      <c r="J148" s="21"/>
    </row>
    <row r="149" spans="2:10" hidden="1" x14ac:dyDescent="0.35">
      <c r="B149" s="40">
        <v>38</v>
      </c>
      <c r="C149" s="27" t="s">
        <v>33</v>
      </c>
      <c r="D149" s="28"/>
      <c r="E149" s="28"/>
      <c r="F149" s="29">
        <f t="shared" si="19"/>
        <v>0</v>
      </c>
      <c r="G149" s="28">
        <f t="shared" si="20"/>
        <v>20671</v>
      </c>
      <c r="H149" s="30">
        <v>0</v>
      </c>
      <c r="I149" s="31">
        <v>0</v>
      </c>
      <c r="J149" s="21"/>
    </row>
    <row r="150" spans="2:10" hidden="1" x14ac:dyDescent="0.35">
      <c r="B150" s="40">
        <v>39</v>
      </c>
      <c r="C150" s="16" t="s">
        <v>27</v>
      </c>
      <c r="D150" s="23"/>
      <c r="E150" s="23"/>
      <c r="F150" s="24">
        <f t="shared" ref="F150:F153" si="21">+E150+D150</f>
        <v>0</v>
      </c>
      <c r="G150" s="23">
        <f t="shared" ref="G150:G153" si="22">+G149+F150</f>
        <v>20671</v>
      </c>
      <c r="H150" s="11">
        <v>0</v>
      </c>
      <c r="I150" s="25">
        <v>0</v>
      </c>
      <c r="J150" s="21"/>
    </row>
    <row r="151" spans="2:10" hidden="1" x14ac:dyDescent="0.35">
      <c r="B151" s="40">
        <v>40</v>
      </c>
      <c r="C151" s="16" t="s">
        <v>28</v>
      </c>
      <c r="D151" s="23"/>
      <c r="E151" s="23"/>
      <c r="F151" s="24">
        <f t="shared" si="21"/>
        <v>0</v>
      </c>
      <c r="G151" s="23">
        <f t="shared" si="22"/>
        <v>20671</v>
      </c>
      <c r="H151" s="11">
        <v>0</v>
      </c>
      <c r="I151" s="25">
        <v>0</v>
      </c>
      <c r="J151" s="21"/>
    </row>
    <row r="152" spans="2:10" hidden="1" x14ac:dyDescent="0.35">
      <c r="B152" s="40">
        <v>41</v>
      </c>
      <c r="C152" s="16" t="s">
        <v>29</v>
      </c>
      <c r="D152" s="23"/>
      <c r="E152" s="23"/>
      <c r="F152" s="24">
        <f t="shared" si="21"/>
        <v>0</v>
      </c>
      <c r="G152" s="23">
        <f t="shared" si="22"/>
        <v>20671</v>
      </c>
      <c r="H152" s="11">
        <v>0</v>
      </c>
      <c r="I152" s="25">
        <v>0</v>
      </c>
      <c r="J152" s="21"/>
    </row>
    <row r="153" spans="2:10" hidden="1" x14ac:dyDescent="0.35">
      <c r="B153" s="40">
        <v>42</v>
      </c>
      <c r="C153" s="16" t="s">
        <v>30</v>
      </c>
      <c r="D153" s="23"/>
      <c r="E153" s="23"/>
      <c r="F153" s="24">
        <f t="shared" si="21"/>
        <v>0</v>
      </c>
      <c r="G153" s="23">
        <f t="shared" si="22"/>
        <v>20671</v>
      </c>
      <c r="H153" s="11">
        <v>0</v>
      </c>
      <c r="I153" s="25">
        <v>0</v>
      </c>
      <c r="J153" s="21"/>
    </row>
    <row r="154" spans="2:10" x14ac:dyDescent="0.35">
      <c r="B154" s="5"/>
      <c r="C154" s="5"/>
      <c r="D154" s="6"/>
      <c r="E154" s="6"/>
      <c r="F154" s="6"/>
      <c r="G154" s="6"/>
      <c r="H154" s="7"/>
      <c r="I154" s="6"/>
      <c r="J154" s="5"/>
    </row>
    <row r="155" spans="2:10" x14ac:dyDescent="0.35">
      <c r="B155" s="8" t="s">
        <v>34</v>
      </c>
      <c r="C155" s="5"/>
      <c r="D155" s="5"/>
      <c r="E155" s="5"/>
      <c r="F155" s="5"/>
      <c r="G155" s="5"/>
      <c r="H155" s="5"/>
      <c r="I155" s="5"/>
      <c r="J155" s="5"/>
    </row>
    <row r="156" spans="2:10" x14ac:dyDescent="0.35">
      <c r="B156" s="9" t="s">
        <v>35</v>
      </c>
      <c r="C156" s="5"/>
      <c r="D156" s="5"/>
      <c r="E156" s="5"/>
      <c r="F156" s="5"/>
      <c r="G156" s="5"/>
      <c r="H156" s="5"/>
      <c r="I156" s="5"/>
      <c r="J156" s="5"/>
    </row>
    <row r="157" spans="2:10" x14ac:dyDescent="0.35">
      <c r="B157" s="9" t="s">
        <v>36</v>
      </c>
      <c r="C157" s="5"/>
      <c r="D157" s="5"/>
      <c r="E157" s="5"/>
      <c r="F157" s="5"/>
      <c r="G157" s="5"/>
      <c r="H157" s="5"/>
      <c r="I157" s="5"/>
      <c r="J157" s="5"/>
    </row>
    <row r="158" spans="2:10" x14ac:dyDescent="0.35">
      <c r="B158" s="9" t="s">
        <v>37</v>
      </c>
      <c r="C158" s="5"/>
      <c r="D158" s="5"/>
      <c r="E158" s="5"/>
      <c r="F158" s="5"/>
      <c r="G158" s="5"/>
      <c r="H158" s="5"/>
      <c r="I158" s="5"/>
      <c r="J158" s="5"/>
    </row>
    <row r="161" spans="2:10" ht="18.5" x14ac:dyDescent="0.45">
      <c r="B161" s="10"/>
      <c r="C161" s="10"/>
      <c r="D161" s="173" t="s">
        <v>41</v>
      </c>
      <c r="E161" s="173"/>
      <c r="F161" s="173"/>
      <c r="G161" s="173"/>
      <c r="H161" s="173"/>
      <c r="I161" s="173"/>
      <c r="J161" s="10"/>
    </row>
    <row r="162" spans="2:10" s="35" customFormat="1" ht="16" x14ac:dyDescent="0.4">
      <c r="B162" s="26"/>
      <c r="C162" s="26"/>
      <c r="D162" s="177" t="s">
        <v>44</v>
      </c>
      <c r="E162" s="177"/>
      <c r="F162" s="177"/>
      <c r="G162" s="177"/>
      <c r="H162" s="177"/>
      <c r="I162" s="177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74" t="s">
        <v>6</v>
      </c>
      <c r="E164" s="175"/>
      <c r="F164" s="175"/>
      <c r="G164" s="176"/>
      <c r="H164" s="166" t="s">
        <v>7</v>
      </c>
      <c r="I164" s="167"/>
      <c r="J164" s="4"/>
    </row>
    <row r="165" spans="2:10" x14ac:dyDescent="0.35">
      <c r="B165" s="12"/>
      <c r="C165" s="13"/>
      <c r="D165" s="170" t="s">
        <v>9</v>
      </c>
      <c r="E165" s="171"/>
      <c r="F165" s="171"/>
      <c r="G165" s="172"/>
      <c r="H165" s="168"/>
      <c r="I165" s="169"/>
      <c r="J165" s="4"/>
    </row>
    <row r="166" spans="2:10" ht="14.4" customHeight="1" x14ac:dyDescent="0.35">
      <c r="B166" s="133" t="s">
        <v>10</v>
      </c>
      <c r="C166" s="135" t="s">
        <v>11</v>
      </c>
      <c r="D166" s="18" t="s">
        <v>12</v>
      </c>
      <c r="E166" s="18" t="s">
        <v>13</v>
      </c>
      <c r="F166" s="18" t="s">
        <v>14</v>
      </c>
      <c r="G166" s="18" t="s">
        <v>15</v>
      </c>
      <c r="H166" s="161" t="s">
        <v>16</v>
      </c>
      <c r="I166" s="135" t="s">
        <v>17</v>
      </c>
      <c r="J166" s="19"/>
    </row>
    <row r="167" spans="2:10" ht="35.4" customHeight="1" x14ac:dyDescent="0.35">
      <c r="B167" s="134"/>
      <c r="C167" s="136"/>
      <c r="D167" s="163" t="s">
        <v>20</v>
      </c>
      <c r="E167" s="164"/>
      <c r="F167" s="164"/>
      <c r="G167" s="165"/>
      <c r="H167" s="162"/>
      <c r="I167" s="136"/>
      <c r="J167" s="19"/>
    </row>
    <row r="168" spans="2:10" x14ac:dyDescent="0.35">
      <c r="B168" s="40">
        <v>4</v>
      </c>
      <c r="C168" s="38" t="s">
        <v>21</v>
      </c>
      <c r="D168" s="20">
        <v>537.5</v>
      </c>
      <c r="E168" s="20">
        <v>0</v>
      </c>
      <c r="F168" s="43">
        <f>+D168+E168</f>
        <v>537.5</v>
      </c>
      <c r="G168" s="20">
        <f>+F168</f>
        <v>537.5</v>
      </c>
      <c r="H168" s="44" t="e">
        <f t="shared" ref="H168:H192" si="23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472.5</v>
      </c>
      <c r="E169" s="25">
        <v>0</v>
      </c>
      <c r="F169" s="47">
        <f>+E169+D169</f>
        <v>472.5</v>
      </c>
      <c r="G169" s="25">
        <f>+G168+F169</f>
        <v>1010</v>
      </c>
      <c r="H169" s="48">
        <f t="shared" si="23"/>
        <v>-19.39345570630487</v>
      </c>
      <c r="I169" s="25">
        <v>1253</v>
      </c>
      <c r="J169" s="21"/>
    </row>
    <row r="170" spans="2:10" x14ac:dyDescent="0.35">
      <c r="B170" s="40">
        <v>6</v>
      </c>
      <c r="C170" s="38" t="s">
        <v>23</v>
      </c>
      <c r="D170" s="25">
        <v>0</v>
      </c>
      <c r="E170" s="25">
        <v>0</v>
      </c>
      <c r="F170" s="47">
        <f>+E170+D170</f>
        <v>0</v>
      </c>
      <c r="G170" s="25">
        <f t="shared" ref="G170" si="24">+G169+F170</f>
        <v>1010</v>
      </c>
      <c r="H170" s="48">
        <f t="shared" si="23"/>
        <v>-62.306400447844744</v>
      </c>
      <c r="I170" s="25">
        <f>+I169+1426.5</f>
        <v>2679.5</v>
      </c>
      <c r="J170" s="21"/>
    </row>
    <row r="171" spans="2:10" x14ac:dyDescent="0.35">
      <c r="B171" s="40">
        <v>7</v>
      </c>
      <c r="C171" s="38" t="s">
        <v>24</v>
      </c>
      <c r="D171" s="25">
        <v>0</v>
      </c>
      <c r="E171" s="25">
        <v>0</v>
      </c>
      <c r="F171" s="47">
        <f t="shared" ref="F171:F192" si="25">+E171+D171</f>
        <v>0</v>
      </c>
      <c r="G171" s="25">
        <f>+G170+F171</f>
        <v>1010</v>
      </c>
      <c r="H171" s="48">
        <f t="shared" si="23"/>
        <v>-62.306400447844744</v>
      </c>
      <c r="I171" s="25">
        <f>+I170+0</f>
        <v>2679.5</v>
      </c>
      <c r="J171" s="21"/>
    </row>
    <row r="172" spans="2:10" x14ac:dyDescent="0.35">
      <c r="B172" s="40">
        <v>8</v>
      </c>
      <c r="C172" s="38" t="s">
        <v>25</v>
      </c>
      <c r="D172" s="25">
        <v>0</v>
      </c>
      <c r="E172" s="25">
        <v>0</v>
      </c>
      <c r="F172" s="47">
        <f t="shared" si="25"/>
        <v>0</v>
      </c>
      <c r="G172" s="25">
        <f t="shared" ref="G172:G192" si="26">+G171+F172</f>
        <v>1010</v>
      </c>
      <c r="H172" s="48">
        <f t="shared" si="23"/>
        <v>-62.306400447844744</v>
      </c>
      <c r="I172" s="25">
        <v>2679.5</v>
      </c>
      <c r="J172" s="21"/>
    </row>
    <row r="173" spans="2:10" x14ac:dyDescent="0.35">
      <c r="B173" s="40">
        <v>9</v>
      </c>
      <c r="C173" s="38" t="s">
        <v>26</v>
      </c>
      <c r="D173" s="25">
        <v>1387.5</v>
      </c>
      <c r="E173" s="25">
        <v>0</v>
      </c>
      <c r="F173" s="47">
        <f t="shared" si="25"/>
        <v>1387.5</v>
      </c>
      <c r="G173" s="25">
        <f t="shared" si="26"/>
        <v>2397.5</v>
      </c>
      <c r="H173" s="48">
        <f t="shared" si="23"/>
        <v>-40.174672489082965</v>
      </c>
      <c r="I173" s="25">
        <f>+I172+1328</f>
        <v>4007.5</v>
      </c>
      <c r="J173" s="21"/>
    </row>
    <row r="174" spans="2:10" x14ac:dyDescent="0.35">
      <c r="B174" s="40">
        <v>10</v>
      </c>
      <c r="C174" s="38" t="s">
        <v>62</v>
      </c>
      <c r="D174" s="25">
        <v>0</v>
      </c>
      <c r="E174" s="25">
        <v>0</v>
      </c>
      <c r="F174" s="47">
        <f t="shared" si="25"/>
        <v>0</v>
      </c>
      <c r="G174" s="25">
        <f t="shared" si="26"/>
        <v>2397.5</v>
      </c>
      <c r="H174" s="48">
        <f t="shared" si="23"/>
        <v>-41.652470187393526</v>
      </c>
      <c r="I174" s="25">
        <f>+I173+101.5</f>
        <v>4109</v>
      </c>
      <c r="J174" s="21"/>
    </row>
    <row r="175" spans="2:10" x14ac:dyDescent="0.35">
      <c r="B175" s="40">
        <v>11</v>
      </c>
      <c r="C175" s="38" t="s">
        <v>63</v>
      </c>
      <c r="D175" s="25">
        <v>1605</v>
      </c>
      <c r="E175" s="25">
        <v>0</v>
      </c>
      <c r="F175" s="47">
        <f t="shared" si="25"/>
        <v>1605</v>
      </c>
      <c r="G175" s="25">
        <f t="shared" si="26"/>
        <v>4002.5</v>
      </c>
      <c r="H175" s="48">
        <f t="shared" si="23"/>
        <v>-2.5918715015818936</v>
      </c>
      <c r="I175" s="25">
        <f>+I174</f>
        <v>4109</v>
      </c>
      <c r="J175" s="21"/>
    </row>
    <row r="176" spans="2:10" x14ac:dyDescent="0.35">
      <c r="B176" s="40">
        <v>12</v>
      </c>
      <c r="C176" s="38" t="s">
        <v>78</v>
      </c>
      <c r="D176" s="25">
        <v>0</v>
      </c>
      <c r="E176" s="25">
        <v>0</v>
      </c>
      <c r="F176" s="47">
        <f t="shared" si="25"/>
        <v>0</v>
      </c>
      <c r="G176" s="25">
        <f t="shared" si="26"/>
        <v>4002.5</v>
      </c>
      <c r="H176" s="48">
        <f t="shared" si="23"/>
        <v>-2.5918715015818936</v>
      </c>
      <c r="I176" s="25">
        <f>+I175+0</f>
        <v>4109</v>
      </c>
      <c r="J176" s="21"/>
    </row>
    <row r="177" spans="2:10" x14ac:dyDescent="0.35">
      <c r="B177" s="40">
        <v>13</v>
      </c>
      <c r="C177" s="38" t="s">
        <v>64</v>
      </c>
      <c r="D177" s="25">
        <v>0</v>
      </c>
      <c r="E177" s="25">
        <v>0</v>
      </c>
      <c r="F177" s="47">
        <f t="shared" si="25"/>
        <v>0</v>
      </c>
      <c r="G177" s="25">
        <f t="shared" si="26"/>
        <v>4002.5</v>
      </c>
      <c r="H177" s="48">
        <f t="shared" si="23"/>
        <v>-2.5918715015818936</v>
      </c>
      <c r="I177" s="25">
        <v>4109</v>
      </c>
      <c r="J177" s="21"/>
    </row>
    <row r="178" spans="2:10" x14ac:dyDescent="0.35">
      <c r="B178" s="40">
        <v>14</v>
      </c>
      <c r="C178" s="58" t="s">
        <v>65</v>
      </c>
      <c r="D178" s="25">
        <v>0</v>
      </c>
      <c r="E178" s="25">
        <v>0</v>
      </c>
      <c r="F178" s="47">
        <f t="shared" si="25"/>
        <v>0</v>
      </c>
      <c r="G178" s="25">
        <f t="shared" si="26"/>
        <v>4002.5</v>
      </c>
      <c r="H178" s="48">
        <f t="shared" si="23"/>
        <v>-2.5918715015818936</v>
      </c>
      <c r="I178" s="25">
        <f>+I177+0</f>
        <v>4109</v>
      </c>
      <c r="J178" s="21"/>
    </row>
    <row r="179" spans="2:10" x14ac:dyDescent="0.35">
      <c r="B179" s="40">
        <v>15</v>
      </c>
      <c r="C179" s="38" t="s">
        <v>66</v>
      </c>
      <c r="D179" s="25">
        <v>0</v>
      </c>
      <c r="E179" s="25">
        <v>0</v>
      </c>
      <c r="F179" s="47">
        <f t="shared" si="25"/>
        <v>0</v>
      </c>
      <c r="G179" s="25">
        <f t="shared" si="26"/>
        <v>4002.5</v>
      </c>
      <c r="H179" s="48">
        <f t="shared" si="23"/>
        <v>-2.5918715015818936</v>
      </c>
      <c r="I179" s="25">
        <f>+I178+0</f>
        <v>4109</v>
      </c>
      <c r="J179" s="21"/>
    </row>
    <row r="180" spans="2:10" x14ac:dyDescent="0.35">
      <c r="B180" s="40">
        <v>16</v>
      </c>
      <c r="C180" s="38" t="s">
        <v>67</v>
      </c>
      <c r="D180" s="25">
        <v>0</v>
      </c>
      <c r="E180" s="25">
        <v>0</v>
      </c>
      <c r="F180" s="47">
        <f t="shared" si="25"/>
        <v>0</v>
      </c>
      <c r="G180" s="25">
        <f t="shared" si="26"/>
        <v>4002.5</v>
      </c>
      <c r="H180" s="48">
        <f t="shared" si="23"/>
        <v>-2.5918715015818936</v>
      </c>
      <c r="I180" s="25">
        <v>4109</v>
      </c>
      <c r="J180" s="21"/>
    </row>
    <row r="181" spans="2:10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25"/>
        <v>0</v>
      </c>
      <c r="G181" s="25">
        <f t="shared" si="26"/>
        <v>4002.5</v>
      </c>
      <c r="H181" s="48">
        <f t="shared" si="23"/>
        <v>-2.5918715015818936</v>
      </c>
      <c r="I181" s="25">
        <v>4109</v>
      </c>
      <c r="J181" s="21"/>
    </row>
    <row r="182" spans="2:10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25"/>
        <v>0</v>
      </c>
      <c r="G182" s="25">
        <f t="shared" si="26"/>
        <v>4002.5</v>
      </c>
      <c r="H182" s="48">
        <f t="shared" si="23"/>
        <v>-2.5918715015818936</v>
      </c>
      <c r="I182" s="25">
        <f t="shared" ref="I182:I187" si="27">+I181+0</f>
        <v>4109</v>
      </c>
      <c r="J182" s="21"/>
    </row>
    <row r="183" spans="2:10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25"/>
        <v>0</v>
      </c>
      <c r="G183" s="25">
        <f t="shared" si="26"/>
        <v>4002.5</v>
      </c>
      <c r="H183" s="48">
        <f t="shared" si="23"/>
        <v>-2.5918715015818936</v>
      </c>
      <c r="I183" s="25">
        <f t="shared" si="27"/>
        <v>4109</v>
      </c>
      <c r="J183" s="21"/>
    </row>
    <row r="184" spans="2:10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25"/>
        <v>0</v>
      </c>
      <c r="G184" s="25">
        <f t="shared" si="26"/>
        <v>4002.5</v>
      </c>
      <c r="H184" s="48">
        <f t="shared" si="23"/>
        <v>-2.5918715015818936</v>
      </c>
      <c r="I184" s="25">
        <f t="shared" si="27"/>
        <v>4109</v>
      </c>
      <c r="J184" s="21"/>
    </row>
    <row r="185" spans="2:10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25"/>
        <v>0</v>
      </c>
      <c r="G185" s="25">
        <f t="shared" si="26"/>
        <v>4002.5</v>
      </c>
      <c r="H185" s="48">
        <f t="shared" si="23"/>
        <v>-2.5918715015818936</v>
      </c>
      <c r="I185" s="25">
        <f t="shared" si="27"/>
        <v>4109</v>
      </c>
      <c r="J185" s="21"/>
    </row>
    <row r="186" spans="2:10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25"/>
        <v>0</v>
      </c>
      <c r="G186" s="25">
        <f t="shared" si="26"/>
        <v>4002.5</v>
      </c>
      <c r="H186" s="48">
        <f t="shared" si="23"/>
        <v>-2.5918715015818936</v>
      </c>
      <c r="I186" s="25">
        <f t="shared" si="27"/>
        <v>4109</v>
      </c>
      <c r="J186" s="21"/>
    </row>
    <row r="187" spans="2:10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25"/>
        <v>0</v>
      </c>
      <c r="G187" s="25">
        <f t="shared" si="26"/>
        <v>4002.5</v>
      </c>
      <c r="H187" s="48">
        <f t="shared" si="23"/>
        <v>-2.5918715015818936</v>
      </c>
      <c r="I187" s="25">
        <f t="shared" si="27"/>
        <v>4109</v>
      </c>
      <c r="J187" s="21"/>
    </row>
    <row r="188" spans="2:10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25"/>
        <v>0</v>
      </c>
      <c r="G188" s="25">
        <f t="shared" si="26"/>
        <v>4002.5</v>
      </c>
      <c r="H188" s="48">
        <f t="shared" si="23"/>
        <v>-2.5918715015818936</v>
      </c>
      <c r="I188" s="25">
        <f>+I187+0</f>
        <v>4109</v>
      </c>
      <c r="J188" s="21"/>
    </row>
    <row r="189" spans="2:10" x14ac:dyDescent="0.35">
      <c r="B189" s="40">
        <v>25</v>
      </c>
      <c r="C189" s="77" t="s">
        <v>76</v>
      </c>
      <c r="D189" s="25">
        <v>0</v>
      </c>
      <c r="E189" s="25">
        <v>0</v>
      </c>
      <c r="F189" s="47">
        <f t="shared" si="25"/>
        <v>0</v>
      </c>
      <c r="G189" s="25">
        <f t="shared" si="26"/>
        <v>4002.5</v>
      </c>
      <c r="H189" s="48">
        <f t="shared" si="23"/>
        <v>-2.5918715015818936</v>
      </c>
      <c r="I189" s="25">
        <f>+I188+0</f>
        <v>4109</v>
      </c>
      <c r="J189" s="21"/>
    </row>
    <row r="190" spans="2:10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25"/>
        <v>0</v>
      </c>
      <c r="G190" s="106">
        <f t="shared" si="26"/>
        <v>4002.5</v>
      </c>
      <c r="H190" s="48">
        <f t="shared" si="23"/>
        <v>-2.5918715015818936</v>
      </c>
      <c r="I190" s="25">
        <f>+I189+0</f>
        <v>4109</v>
      </c>
      <c r="J190" s="21"/>
    </row>
    <row r="191" spans="2:10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25"/>
        <v>0</v>
      </c>
      <c r="G191" s="120">
        <f t="shared" si="26"/>
        <v>4002.5</v>
      </c>
      <c r="H191" s="48">
        <f t="shared" si="23"/>
        <v>-2.5918715015818936</v>
      </c>
      <c r="I191" s="25">
        <f>+I190+0</f>
        <v>4109</v>
      </c>
      <c r="J191" s="21"/>
    </row>
    <row r="192" spans="2:10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25"/>
        <v>0</v>
      </c>
      <c r="G192" s="109">
        <f t="shared" si="26"/>
        <v>4002.5</v>
      </c>
      <c r="H192" s="48">
        <f t="shared" si="23"/>
        <v>-2.5918715015818936</v>
      </c>
      <c r="I192" s="25">
        <f>+I191+0</f>
        <v>4109</v>
      </c>
      <c r="J192" s="21"/>
    </row>
    <row r="193" spans="2:10" hidden="1" x14ac:dyDescent="0.35">
      <c r="B193" s="40">
        <v>29</v>
      </c>
      <c r="C193" s="17" t="s">
        <v>32</v>
      </c>
      <c r="D193" s="23"/>
      <c r="E193" s="23"/>
      <c r="F193" s="24">
        <f t="shared" ref="F193:F206" si="28">+E193+D193</f>
        <v>0</v>
      </c>
      <c r="G193" s="23">
        <f t="shared" ref="G193:G205" si="29">+G192+F193</f>
        <v>4002.5</v>
      </c>
      <c r="H193" s="11">
        <v>0</v>
      </c>
      <c r="I193" s="25">
        <v>0</v>
      </c>
      <c r="J193" s="21"/>
    </row>
    <row r="194" spans="2:10" hidden="1" x14ac:dyDescent="0.35">
      <c r="B194" s="40">
        <v>30</v>
      </c>
      <c r="C194" s="27" t="s">
        <v>33</v>
      </c>
      <c r="D194" s="28"/>
      <c r="E194" s="28"/>
      <c r="F194" s="29">
        <f t="shared" si="28"/>
        <v>0</v>
      </c>
      <c r="G194" s="28">
        <f t="shared" si="29"/>
        <v>4002.5</v>
      </c>
      <c r="H194" s="30">
        <v>0</v>
      </c>
      <c r="I194" s="31">
        <v>0</v>
      </c>
      <c r="J194" s="21"/>
    </row>
    <row r="195" spans="2:10" hidden="1" x14ac:dyDescent="0.35">
      <c r="B195" s="40">
        <v>31</v>
      </c>
      <c r="C195" s="16" t="s">
        <v>27</v>
      </c>
      <c r="D195" s="23"/>
      <c r="E195" s="23"/>
      <c r="F195" s="24">
        <f t="shared" si="28"/>
        <v>0</v>
      </c>
      <c r="G195" s="23">
        <f t="shared" si="29"/>
        <v>4002.5</v>
      </c>
      <c r="H195" s="11">
        <v>0</v>
      </c>
      <c r="I195" s="25">
        <v>0</v>
      </c>
      <c r="J195" s="21"/>
    </row>
    <row r="196" spans="2:10" hidden="1" x14ac:dyDescent="0.35">
      <c r="B196" s="40">
        <v>32</v>
      </c>
      <c r="C196" s="16" t="s">
        <v>28</v>
      </c>
      <c r="D196" s="23"/>
      <c r="E196" s="23"/>
      <c r="F196" s="24">
        <f t="shared" si="28"/>
        <v>0</v>
      </c>
      <c r="G196" s="23">
        <f t="shared" si="29"/>
        <v>4002.5</v>
      </c>
      <c r="H196" s="11">
        <v>0</v>
      </c>
      <c r="I196" s="25">
        <v>0</v>
      </c>
      <c r="J196" s="21"/>
    </row>
    <row r="197" spans="2:10" hidden="1" x14ac:dyDescent="0.35">
      <c r="B197" s="40">
        <v>33</v>
      </c>
      <c r="C197" s="16" t="s">
        <v>29</v>
      </c>
      <c r="D197" s="23"/>
      <c r="E197" s="23"/>
      <c r="F197" s="24">
        <f t="shared" si="28"/>
        <v>0</v>
      </c>
      <c r="G197" s="23">
        <f t="shared" si="29"/>
        <v>4002.5</v>
      </c>
      <c r="H197" s="11">
        <v>0</v>
      </c>
      <c r="I197" s="25">
        <v>0</v>
      </c>
      <c r="J197" s="21"/>
    </row>
    <row r="198" spans="2:10" hidden="1" x14ac:dyDescent="0.35">
      <c r="B198" s="40">
        <v>34</v>
      </c>
      <c r="C198" s="16" t="s">
        <v>30</v>
      </c>
      <c r="D198" s="23"/>
      <c r="E198" s="23"/>
      <c r="F198" s="24">
        <f t="shared" si="28"/>
        <v>0</v>
      </c>
      <c r="G198" s="23">
        <f t="shared" si="29"/>
        <v>4002.5</v>
      </c>
      <c r="H198" s="11">
        <v>0</v>
      </c>
      <c r="I198" s="25">
        <v>0</v>
      </c>
      <c r="J198" s="21"/>
    </row>
    <row r="199" spans="2:10" hidden="1" x14ac:dyDescent="0.35">
      <c r="B199" s="40">
        <v>35</v>
      </c>
      <c r="C199" s="16" t="s">
        <v>31</v>
      </c>
      <c r="D199" s="23"/>
      <c r="E199" s="23"/>
      <c r="F199" s="24">
        <f t="shared" si="28"/>
        <v>0</v>
      </c>
      <c r="G199" s="23">
        <f t="shared" si="29"/>
        <v>4002.5</v>
      </c>
      <c r="H199" s="11">
        <v>0</v>
      </c>
      <c r="I199" s="25">
        <v>0</v>
      </c>
      <c r="J199" s="21"/>
    </row>
    <row r="200" spans="2:10" hidden="1" x14ac:dyDescent="0.35">
      <c r="B200" s="40">
        <v>36</v>
      </c>
      <c r="C200" s="17" t="s">
        <v>32</v>
      </c>
      <c r="D200" s="23"/>
      <c r="E200" s="23"/>
      <c r="F200" s="24">
        <f t="shared" si="28"/>
        <v>0</v>
      </c>
      <c r="G200" s="23">
        <f t="shared" si="29"/>
        <v>4002.5</v>
      </c>
      <c r="H200" s="11">
        <v>0</v>
      </c>
      <c r="I200" s="25">
        <v>0</v>
      </c>
      <c r="J200" s="21"/>
    </row>
    <row r="201" spans="2:10" hidden="1" x14ac:dyDescent="0.35">
      <c r="B201" s="40">
        <v>37</v>
      </c>
      <c r="C201" s="27" t="s">
        <v>33</v>
      </c>
      <c r="D201" s="28"/>
      <c r="E201" s="28"/>
      <c r="F201" s="29">
        <f t="shared" si="28"/>
        <v>0</v>
      </c>
      <c r="G201" s="28">
        <f t="shared" si="29"/>
        <v>4002.5</v>
      </c>
      <c r="H201" s="30">
        <v>0</v>
      </c>
      <c r="I201" s="31">
        <v>0</v>
      </c>
      <c r="J201" s="21"/>
    </row>
    <row r="202" spans="2:10" hidden="1" x14ac:dyDescent="0.35">
      <c r="B202" s="40">
        <v>38</v>
      </c>
      <c r="C202" s="16" t="s">
        <v>27</v>
      </c>
      <c r="D202" s="23"/>
      <c r="E202" s="23"/>
      <c r="F202" s="24">
        <f t="shared" si="28"/>
        <v>0</v>
      </c>
      <c r="G202" s="23">
        <f t="shared" si="29"/>
        <v>4002.5</v>
      </c>
      <c r="H202" s="11">
        <v>0</v>
      </c>
      <c r="I202" s="25">
        <v>0</v>
      </c>
      <c r="J202" s="21"/>
    </row>
    <row r="203" spans="2:10" hidden="1" x14ac:dyDescent="0.35">
      <c r="B203" s="40">
        <v>39</v>
      </c>
      <c r="C203" s="16" t="s">
        <v>28</v>
      </c>
      <c r="D203" s="23"/>
      <c r="E203" s="23"/>
      <c r="F203" s="24">
        <f t="shared" si="28"/>
        <v>0</v>
      </c>
      <c r="G203" s="23">
        <f t="shared" si="29"/>
        <v>4002.5</v>
      </c>
      <c r="H203" s="11">
        <v>0</v>
      </c>
      <c r="I203" s="25">
        <v>0</v>
      </c>
      <c r="J203" s="21"/>
    </row>
    <row r="204" spans="2:10" hidden="1" x14ac:dyDescent="0.35">
      <c r="B204" s="40">
        <v>40</v>
      </c>
      <c r="C204" s="16" t="s">
        <v>29</v>
      </c>
      <c r="D204" s="23"/>
      <c r="E204" s="23"/>
      <c r="F204" s="24">
        <f t="shared" si="28"/>
        <v>0</v>
      </c>
      <c r="G204" s="23">
        <f t="shared" si="29"/>
        <v>4002.5</v>
      </c>
      <c r="H204" s="11">
        <v>0</v>
      </c>
      <c r="I204" s="25">
        <v>0</v>
      </c>
      <c r="J204" s="21"/>
    </row>
    <row r="205" spans="2:10" hidden="1" x14ac:dyDescent="0.35">
      <c r="B205" s="40">
        <v>41</v>
      </c>
      <c r="C205" s="16" t="s">
        <v>30</v>
      </c>
      <c r="D205" s="23"/>
      <c r="E205" s="23"/>
      <c r="F205" s="24">
        <f t="shared" si="28"/>
        <v>0</v>
      </c>
      <c r="G205" s="23">
        <f t="shared" si="29"/>
        <v>4002.5</v>
      </c>
      <c r="H205" s="11">
        <v>0</v>
      </c>
      <c r="I205" s="25">
        <v>0</v>
      </c>
      <c r="J205" s="21"/>
    </row>
    <row r="206" spans="2:10" hidden="1" x14ac:dyDescent="0.35">
      <c r="B206" s="40">
        <v>42</v>
      </c>
      <c r="C206" s="27" t="s">
        <v>33</v>
      </c>
      <c r="D206" s="28"/>
      <c r="E206" s="28"/>
      <c r="F206" s="29">
        <f t="shared" si="28"/>
        <v>0</v>
      </c>
      <c r="G206" s="28">
        <f>+G189+F206</f>
        <v>4002.5</v>
      </c>
      <c r="H206" s="30">
        <v>0</v>
      </c>
      <c r="I206" s="31">
        <v>0</v>
      </c>
      <c r="J206" s="21"/>
    </row>
    <row r="207" spans="2:10" x14ac:dyDescent="0.35">
      <c r="B207" s="5"/>
      <c r="C207" s="5"/>
      <c r="D207" s="6"/>
      <c r="E207" s="6"/>
      <c r="F207" s="6"/>
      <c r="G207" s="6"/>
      <c r="H207" s="7"/>
      <c r="I207" s="6"/>
      <c r="J207" s="5"/>
    </row>
    <row r="208" spans="2:10" x14ac:dyDescent="0.35">
      <c r="B208" s="8" t="s">
        <v>34</v>
      </c>
      <c r="C208" s="5"/>
      <c r="D208" s="5"/>
      <c r="E208" s="5"/>
      <c r="F208" s="5"/>
      <c r="G208" s="5"/>
      <c r="H208" s="5"/>
      <c r="I208" s="5"/>
      <c r="J208" s="5"/>
    </row>
    <row r="209" spans="2:10" x14ac:dyDescent="0.35">
      <c r="B209" s="9" t="s">
        <v>35</v>
      </c>
      <c r="C209" s="5"/>
      <c r="D209" s="5"/>
      <c r="E209" s="5"/>
      <c r="F209" s="5"/>
      <c r="G209" s="5"/>
      <c r="H209" s="5"/>
      <c r="I209" s="5"/>
      <c r="J209" s="5"/>
    </row>
    <row r="210" spans="2:10" x14ac:dyDescent="0.35">
      <c r="B210" s="9" t="s">
        <v>36</v>
      </c>
      <c r="C210" s="5"/>
      <c r="D210" s="5"/>
      <c r="E210" s="5"/>
      <c r="F210" s="5"/>
      <c r="G210" s="5"/>
      <c r="H210" s="5"/>
      <c r="I210" s="5"/>
      <c r="J210" s="5"/>
    </row>
    <row r="211" spans="2:10" x14ac:dyDescent="0.35">
      <c r="B211" s="9" t="s">
        <v>37</v>
      </c>
      <c r="C211" s="5"/>
      <c r="D211" s="5"/>
      <c r="E211" s="5"/>
      <c r="F211" s="5"/>
      <c r="G211" s="5"/>
      <c r="H211" s="5"/>
      <c r="I211" s="5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211"/>
  <sheetViews>
    <sheetView zoomScale="80" zoomScaleNormal="80" workbookViewId="0">
      <selection activeCell="A193" sqref="A193:XFD206"/>
    </sheetView>
  </sheetViews>
  <sheetFormatPr defaultColWidth="9" defaultRowHeight="14.5" x14ac:dyDescent="0.35"/>
  <cols>
    <col min="1" max="1" width="2" style="3" customWidth="1"/>
    <col min="2" max="2" width="7.398437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5" customFormat="1" ht="18.5" x14ac:dyDescent="0.45">
      <c r="B3" s="26"/>
      <c r="C3" s="26"/>
      <c r="D3" s="182" t="s">
        <v>45</v>
      </c>
      <c r="E3" s="182"/>
      <c r="F3" s="182"/>
      <c r="G3" s="182"/>
      <c r="H3" s="182"/>
      <c r="I3" s="182"/>
      <c r="J3" s="26"/>
      <c r="K3" s="36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74" t="s">
        <v>6</v>
      </c>
      <c r="E5" s="175"/>
      <c r="F5" s="175"/>
      <c r="G5" s="176"/>
      <c r="H5" s="166" t="s">
        <v>7</v>
      </c>
      <c r="I5" s="167"/>
      <c r="J5" s="4"/>
      <c r="K5" s="1"/>
      <c r="L5" s="2"/>
    </row>
    <row r="6" spans="2:12" x14ac:dyDescent="0.35">
      <c r="B6" s="12"/>
      <c r="C6" s="13"/>
      <c r="D6" s="170" t="s">
        <v>9</v>
      </c>
      <c r="E6" s="171"/>
      <c r="F6" s="171"/>
      <c r="G6" s="172"/>
      <c r="H6" s="168"/>
      <c r="I6" s="169"/>
      <c r="J6" s="4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61" t="s">
        <v>16</v>
      </c>
      <c r="I7" s="135" t="s">
        <v>17</v>
      </c>
      <c r="J7" s="19"/>
      <c r="K7" s="1"/>
      <c r="L7" s="2"/>
    </row>
    <row r="8" spans="2:12" ht="36.65" customHeight="1" x14ac:dyDescent="0.35">
      <c r="B8" s="134"/>
      <c r="C8" s="136"/>
      <c r="D8" s="163" t="s">
        <v>20</v>
      </c>
      <c r="E8" s="164"/>
      <c r="F8" s="164"/>
      <c r="G8" s="165"/>
      <c r="H8" s="162"/>
      <c r="I8" s="136"/>
      <c r="J8" s="19"/>
      <c r="K8" s="1"/>
    </row>
    <row r="9" spans="2:12" x14ac:dyDescent="0.35">
      <c r="B9" s="40">
        <v>4</v>
      </c>
      <c r="C9" s="38" t="s">
        <v>21</v>
      </c>
      <c r="D9" s="20">
        <v>386194</v>
      </c>
      <c r="E9" s="20">
        <v>0</v>
      </c>
      <c r="F9" s="43">
        <f>+D9+E9</f>
        <v>386194</v>
      </c>
      <c r="G9" s="20">
        <f>+F9</f>
        <v>386194</v>
      </c>
      <c r="H9" s="44">
        <f t="shared" ref="H9:H33" si="0">((G9-I9)/I9)*100</f>
        <v>25.312698491243466</v>
      </c>
      <c r="I9" s="20">
        <v>308184.25</v>
      </c>
      <c r="J9" s="21"/>
      <c r="K9" s="1"/>
    </row>
    <row r="10" spans="2:12" x14ac:dyDescent="0.35">
      <c r="B10" s="40">
        <v>5</v>
      </c>
      <c r="C10" s="38" t="s">
        <v>22</v>
      </c>
      <c r="D10" s="25">
        <v>472540.01</v>
      </c>
      <c r="E10" s="25">
        <v>0</v>
      </c>
      <c r="F10" s="47">
        <f>+E10+D10</f>
        <v>472540.01</v>
      </c>
      <c r="G10" s="25">
        <f>+G9+F10</f>
        <v>858734.01</v>
      </c>
      <c r="H10" s="48">
        <f t="shared" si="0"/>
        <v>-2.2520566578687125</v>
      </c>
      <c r="I10" s="25">
        <f>+I9+570334.5</f>
        <v>878518.75</v>
      </c>
      <c r="J10" s="21"/>
      <c r="K10" s="1"/>
    </row>
    <row r="11" spans="2:12" x14ac:dyDescent="0.35">
      <c r="B11" s="40">
        <v>6</v>
      </c>
      <c r="C11" s="38" t="s">
        <v>23</v>
      </c>
      <c r="D11" s="25">
        <v>518051.5</v>
      </c>
      <c r="E11" s="25">
        <v>0</v>
      </c>
      <c r="F11" s="47">
        <f>+E11+D11</f>
        <v>518051.5</v>
      </c>
      <c r="G11" s="25">
        <f t="shared" ref="G11:G21" si="1">+G10+F11</f>
        <v>1376785.51</v>
      </c>
      <c r="H11" s="48">
        <f t="shared" si="0"/>
        <v>12.154008005117301</v>
      </c>
      <c r="I11" s="25">
        <f>+I10+349066.01</f>
        <v>1227584.76</v>
      </c>
      <c r="J11" s="21"/>
      <c r="K11" s="1"/>
    </row>
    <row r="12" spans="2:12" x14ac:dyDescent="0.35">
      <c r="B12" s="40">
        <v>7</v>
      </c>
      <c r="C12" s="38" t="s">
        <v>24</v>
      </c>
      <c r="D12" s="25">
        <v>506029.52</v>
      </c>
      <c r="E12" s="25">
        <v>225496</v>
      </c>
      <c r="F12" s="47">
        <f t="shared" ref="F12:F33" si="2">+E12+D12</f>
        <v>731525.52</v>
      </c>
      <c r="G12" s="25">
        <f>+G11+F12</f>
        <v>2108311.0300000003</v>
      </c>
      <c r="H12" s="48">
        <f t="shared" si="0"/>
        <v>20.059303621414525</v>
      </c>
      <c r="I12" s="25">
        <f>+I11+528473.26</f>
        <v>1756058.02</v>
      </c>
      <c r="J12" s="21"/>
      <c r="K12" s="1"/>
    </row>
    <row r="13" spans="2:12" x14ac:dyDescent="0.35">
      <c r="B13" s="40">
        <v>8</v>
      </c>
      <c r="C13" s="38" t="s">
        <v>25</v>
      </c>
      <c r="D13" s="25">
        <v>327481.5</v>
      </c>
      <c r="E13" s="25">
        <v>0</v>
      </c>
      <c r="F13" s="47">
        <f t="shared" si="2"/>
        <v>327481.5</v>
      </c>
      <c r="G13" s="25">
        <f t="shared" si="1"/>
        <v>2435792.5300000003</v>
      </c>
      <c r="H13" s="48">
        <f t="shared" si="0"/>
        <v>18.488650014363365</v>
      </c>
      <c r="I13" s="25">
        <v>2055718.02</v>
      </c>
      <c r="J13" s="21"/>
      <c r="K13" s="1"/>
    </row>
    <row r="14" spans="2:12" x14ac:dyDescent="0.35">
      <c r="B14" s="40">
        <v>9</v>
      </c>
      <c r="C14" s="38" t="s">
        <v>26</v>
      </c>
      <c r="D14" s="25">
        <v>157341</v>
      </c>
      <c r="E14" s="25">
        <v>0</v>
      </c>
      <c r="F14" s="47">
        <f t="shared" si="2"/>
        <v>157341</v>
      </c>
      <c r="G14" s="25">
        <f t="shared" si="1"/>
        <v>2593133.5300000003</v>
      </c>
      <c r="H14" s="48">
        <f t="shared" si="0"/>
        <v>11.967401832043846</v>
      </c>
      <c r="I14" s="25">
        <f>+I13+260253.85</f>
        <v>2315971.87</v>
      </c>
      <c r="J14" s="21"/>
      <c r="K14" s="1"/>
    </row>
    <row r="15" spans="2:12" x14ac:dyDescent="0.35">
      <c r="B15" s="40">
        <v>10</v>
      </c>
      <c r="C15" s="38" t="s">
        <v>62</v>
      </c>
      <c r="D15" s="25">
        <v>648003.5</v>
      </c>
      <c r="E15" s="25">
        <v>0</v>
      </c>
      <c r="F15" s="47">
        <f t="shared" si="2"/>
        <v>648003.5</v>
      </c>
      <c r="G15" s="25">
        <f t="shared" si="1"/>
        <v>3241137.0300000003</v>
      </c>
      <c r="H15" s="48">
        <f t="shared" si="0"/>
        <v>15.25737845669371</v>
      </c>
      <c r="I15" s="25">
        <f>+I14+496114.5</f>
        <v>2812086.37</v>
      </c>
      <c r="J15" s="21"/>
      <c r="K15" s="1"/>
    </row>
    <row r="16" spans="2:12" x14ac:dyDescent="0.35">
      <c r="B16" s="40">
        <v>11</v>
      </c>
      <c r="C16" s="38" t="s">
        <v>63</v>
      </c>
      <c r="D16" s="25">
        <v>185132.5</v>
      </c>
      <c r="E16" s="25">
        <v>0</v>
      </c>
      <c r="F16" s="47">
        <f t="shared" si="2"/>
        <v>185132.5</v>
      </c>
      <c r="G16" s="25">
        <f t="shared" si="1"/>
        <v>3426269.5300000003</v>
      </c>
      <c r="H16" s="48">
        <f t="shared" si="0"/>
        <v>15.716153677295546</v>
      </c>
      <c r="I16" s="25">
        <f>+I15+148839.5</f>
        <v>2960925.87</v>
      </c>
      <c r="J16" s="21"/>
      <c r="K16" s="1"/>
    </row>
    <row r="17" spans="2:11" x14ac:dyDescent="0.35">
      <c r="B17" s="40">
        <v>12</v>
      </c>
      <c r="C17" s="38" t="s">
        <v>78</v>
      </c>
      <c r="D17" s="25">
        <v>105394.5</v>
      </c>
      <c r="E17" s="25">
        <v>0</v>
      </c>
      <c r="F17" s="47">
        <f t="shared" si="2"/>
        <v>105394.5</v>
      </c>
      <c r="G17" s="25">
        <f t="shared" si="1"/>
        <v>3531664.0300000003</v>
      </c>
      <c r="H17" s="48">
        <f t="shared" si="0"/>
        <v>18.083237992053348</v>
      </c>
      <c r="I17" s="25">
        <f>+I16+29900</f>
        <v>2990825.87</v>
      </c>
      <c r="J17" s="21"/>
      <c r="K17" s="1"/>
    </row>
    <row r="18" spans="2:11" x14ac:dyDescent="0.35">
      <c r="B18" s="40">
        <v>13</v>
      </c>
      <c r="C18" s="38" t="s">
        <v>64</v>
      </c>
      <c r="D18" s="25">
        <v>28497.5</v>
      </c>
      <c r="E18" s="25">
        <v>0</v>
      </c>
      <c r="F18" s="47">
        <f t="shared" si="2"/>
        <v>28497.5</v>
      </c>
      <c r="G18" s="25">
        <f t="shared" si="1"/>
        <v>3560161.5300000003</v>
      </c>
      <c r="H18" s="48">
        <f t="shared" si="0"/>
        <v>16.450110308086295</v>
      </c>
      <c r="I18" s="25">
        <v>3057241.87</v>
      </c>
      <c r="J18" s="21"/>
      <c r="K18" s="1"/>
    </row>
    <row r="19" spans="2:11" x14ac:dyDescent="0.35">
      <c r="B19" s="40">
        <v>14</v>
      </c>
      <c r="C19" s="58" t="s">
        <v>65</v>
      </c>
      <c r="D19" s="25">
        <v>895</v>
      </c>
      <c r="E19" s="25">
        <v>0</v>
      </c>
      <c r="F19" s="47">
        <f t="shared" si="2"/>
        <v>895</v>
      </c>
      <c r="G19" s="25">
        <f t="shared" si="1"/>
        <v>3561056.5300000003</v>
      </c>
      <c r="H19" s="48">
        <f t="shared" si="0"/>
        <v>16.465670855963996</v>
      </c>
      <c r="I19" s="25">
        <f>+I18+360</f>
        <v>3057601.87</v>
      </c>
      <c r="J19" s="21"/>
      <c r="K19" s="1"/>
    </row>
    <row r="20" spans="2:11" x14ac:dyDescent="0.35">
      <c r="B20" s="40">
        <v>15</v>
      </c>
      <c r="C20" s="38" t="s">
        <v>66</v>
      </c>
      <c r="D20" s="25">
        <v>4500</v>
      </c>
      <c r="E20" s="25">
        <v>0</v>
      </c>
      <c r="F20" s="47">
        <f t="shared" si="2"/>
        <v>4500</v>
      </c>
      <c r="G20" s="25">
        <f t="shared" si="1"/>
        <v>3565556.5300000003</v>
      </c>
      <c r="H20" s="48">
        <f t="shared" si="0"/>
        <v>16.212869423911453</v>
      </c>
      <c r="I20" s="25">
        <f>+I19+10523.5</f>
        <v>3068125.37</v>
      </c>
      <c r="J20" s="21"/>
      <c r="K20" s="1"/>
    </row>
    <row r="21" spans="2:11" x14ac:dyDescent="0.35">
      <c r="B21" s="40">
        <v>16</v>
      </c>
      <c r="C21" s="38" t="s">
        <v>67</v>
      </c>
      <c r="D21" s="25">
        <v>34768</v>
      </c>
      <c r="E21" s="25">
        <v>0</v>
      </c>
      <c r="F21" s="47">
        <f t="shared" si="2"/>
        <v>34768</v>
      </c>
      <c r="G21" s="25">
        <f t="shared" si="1"/>
        <v>3600324.5300000003</v>
      </c>
      <c r="H21" s="48">
        <f t="shared" si="0"/>
        <v>16.678636437598357</v>
      </c>
      <c r="I21" s="25">
        <v>3085675.87</v>
      </c>
      <c r="J21" s="21"/>
      <c r="K21" s="1"/>
    </row>
    <row r="22" spans="2:11" x14ac:dyDescent="0.35">
      <c r="B22" s="40">
        <v>17</v>
      </c>
      <c r="C22" s="38" t="s">
        <v>68</v>
      </c>
      <c r="D22" s="25">
        <v>879</v>
      </c>
      <c r="E22" s="25">
        <v>0</v>
      </c>
      <c r="F22" s="47">
        <f t="shared" si="2"/>
        <v>879</v>
      </c>
      <c r="G22" s="25">
        <f>+G21+F22</f>
        <v>3601203.5300000003</v>
      </c>
      <c r="H22" s="48">
        <f t="shared" si="0"/>
        <v>16.686910426005731</v>
      </c>
      <c r="I22" s="25">
        <v>3086210.37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228</v>
      </c>
      <c r="E23" s="25">
        <v>0</v>
      </c>
      <c r="F23" s="47">
        <f t="shared" si="2"/>
        <v>228</v>
      </c>
      <c r="G23" s="25">
        <f t="shared" ref="G23:G33" si="3">+G22+F23</f>
        <v>3601431.5300000003</v>
      </c>
      <c r="H23" s="48">
        <f t="shared" si="0"/>
        <v>15.608714147379704</v>
      </c>
      <c r="I23" s="25">
        <f>+I22+28980</f>
        <v>3115190.37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10036.5</v>
      </c>
      <c r="E24" s="25">
        <v>0</v>
      </c>
      <c r="F24" s="47">
        <f t="shared" si="2"/>
        <v>10036.5</v>
      </c>
      <c r="G24" s="25">
        <f t="shared" si="3"/>
        <v>3611468.0300000003</v>
      </c>
      <c r="H24" s="48">
        <f t="shared" si="0"/>
        <v>15.930893494640591</v>
      </c>
      <c r="I24" s="25">
        <f>+I23+0</f>
        <v>3115190.37</v>
      </c>
      <c r="J24" s="21"/>
      <c r="K24" s="1"/>
    </row>
    <row r="25" spans="2:11" x14ac:dyDescent="0.35">
      <c r="B25" s="40">
        <v>20</v>
      </c>
      <c r="C25" s="38" t="s">
        <v>71</v>
      </c>
      <c r="D25" s="25">
        <v>0</v>
      </c>
      <c r="E25" s="25">
        <v>0</v>
      </c>
      <c r="F25" s="47">
        <f t="shared" si="2"/>
        <v>0</v>
      </c>
      <c r="G25" s="25">
        <f t="shared" si="3"/>
        <v>3611468.0300000003</v>
      </c>
      <c r="H25" s="48">
        <f t="shared" si="0"/>
        <v>15.930893494640591</v>
      </c>
      <c r="I25" s="25">
        <f>+I24+0</f>
        <v>3115190.37</v>
      </c>
      <c r="J25" s="21"/>
      <c r="K25" s="1"/>
    </row>
    <row r="26" spans="2:11" x14ac:dyDescent="0.35">
      <c r="B26" s="40">
        <v>21</v>
      </c>
      <c r="C26" s="38" t="s">
        <v>72</v>
      </c>
      <c r="D26" s="25">
        <v>0</v>
      </c>
      <c r="E26" s="25">
        <v>0</v>
      </c>
      <c r="F26" s="47">
        <f t="shared" si="2"/>
        <v>0</v>
      </c>
      <c r="G26" s="25">
        <f t="shared" si="3"/>
        <v>3611468.0300000003</v>
      </c>
      <c r="H26" s="48">
        <f t="shared" si="0"/>
        <v>15.930893494640591</v>
      </c>
      <c r="I26" s="25">
        <f>+I25+0</f>
        <v>3115190.37</v>
      </c>
      <c r="J26" s="21"/>
      <c r="K26" s="1"/>
    </row>
    <row r="27" spans="2:11" x14ac:dyDescent="0.35">
      <c r="B27" s="40">
        <v>22</v>
      </c>
      <c r="C27" s="38" t="s">
        <v>73</v>
      </c>
      <c r="D27" s="25">
        <v>0</v>
      </c>
      <c r="E27" s="25">
        <v>0</v>
      </c>
      <c r="F27" s="47">
        <f t="shared" si="2"/>
        <v>0</v>
      </c>
      <c r="G27" s="25">
        <f t="shared" si="3"/>
        <v>3611468.0300000003</v>
      </c>
      <c r="H27" s="48">
        <f t="shared" si="0"/>
        <v>15.930893494640591</v>
      </c>
      <c r="I27" s="25">
        <f>+I26+0</f>
        <v>3115190.37</v>
      </c>
      <c r="J27" s="21"/>
      <c r="K27" s="1"/>
    </row>
    <row r="28" spans="2:11" x14ac:dyDescent="0.35">
      <c r="B28" s="40">
        <v>23</v>
      </c>
      <c r="C28" s="38" t="s">
        <v>80</v>
      </c>
      <c r="D28" s="25">
        <v>8871.5</v>
      </c>
      <c r="E28" s="25">
        <v>0</v>
      </c>
      <c r="F28" s="47">
        <f t="shared" si="2"/>
        <v>8871.5</v>
      </c>
      <c r="G28" s="25">
        <f t="shared" si="3"/>
        <v>3620339.5300000003</v>
      </c>
      <c r="H28" s="48">
        <f t="shared" si="0"/>
        <v>16.21567544843175</v>
      </c>
      <c r="I28" s="25">
        <f>+I27+0</f>
        <v>3115190.37</v>
      </c>
      <c r="J28" s="21"/>
      <c r="K28" s="1"/>
    </row>
    <row r="29" spans="2:11" x14ac:dyDescent="0.35">
      <c r="B29" s="40">
        <v>24</v>
      </c>
      <c r="C29" s="38" t="s">
        <v>75</v>
      </c>
      <c r="D29" s="25">
        <v>0</v>
      </c>
      <c r="E29" s="25">
        <v>0</v>
      </c>
      <c r="F29" s="47">
        <f t="shared" si="2"/>
        <v>0</v>
      </c>
      <c r="G29" s="25">
        <f t="shared" si="3"/>
        <v>3620339.5300000003</v>
      </c>
      <c r="H29" s="48">
        <f t="shared" si="0"/>
        <v>11.366265543926842</v>
      </c>
      <c r="I29" s="25">
        <f>+I28+135650.01</f>
        <v>3250840.38</v>
      </c>
      <c r="J29" s="21"/>
      <c r="K29" s="1"/>
    </row>
    <row r="30" spans="2:11" x14ac:dyDescent="0.35">
      <c r="B30" s="40">
        <v>25</v>
      </c>
      <c r="C30" s="77" t="s">
        <v>76</v>
      </c>
      <c r="D30" s="25">
        <v>0</v>
      </c>
      <c r="E30" s="25">
        <v>0</v>
      </c>
      <c r="F30" s="47">
        <f t="shared" si="2"/>
        <v>0</v>
      </c>
      <c r="G30" s="25">
        <f t="shared" si="3"/>
        <v>3620339.5300000003</v>
      </c>
      <c r="H30" s="48">
        <f t="shared" si="0"/>
        <v>11.366265543926842</v>
      </c>
      <c r="I30" s="25">
        <f>+I29+0</f>
        <v>3250840.38</v>
      </c>
      <c r="J30" s="21"/>
      <c r="K30" s="1"/>
    </row>
    <row r="31" spans="2:11" x14ac:dyDescent="0.35">
      <c r="B31" s="111">
        <v>26</v>
      </c>
      <c r="C31" s="112" t="s">
        <v>77</v>
      </c>
      <c r="D31" s="105">
        <v>0</v>
      </c>
      <c r="E31" s="106">
        <v>0</v>
      </c>
      <c r="F31" s="107">
        <f t="shared" si="2"/>
        <v>0</v>
      </c>
      <c r="G31" s="106">
        <f t="shared" si="3"/>
        <v>3620339.5300000003</v>
      </c>
      <c r="H31" s="48">
        <f t="shared" si="0"/>
        <v>11.366265543926842</v>
      </c>
      <c r="I31" s="25">
        <f>+I30+0</f>
        <v>3250840.38</v>
      </c>
      <c r="J31" s="21"/>
    </row>
    <row r="32" spans="2:11" x14ac:dyDescent="0.35">
      <c r="B32" s="111">
        <v>27</v>
      </c>
      <c r="C32" s="77" t="s">
        <v>81</v>
      </c>
      <c r="D32" s="119">
        <v>0</v>
      </c>
      <c r="E32" s="120">
        <v>0</v>
      </c>
      <c r="F32" s="121">
        <f t="shared" si="2"/>
        <v>0</v>
      </c>
      <c r="G32" s="120">
        <f t="shared" si="3"/>
        <v>3620339.5300000003</v>
      </c>
      <c r="H32" s="48">
        <f t="shared" si="0"/>
        <v>11.366265543926842</v>
      </c>
      <c r="I32" s="25">
        <f>+I31+0</f>
        <v>3250840.38</v>
      </c>
      <c r="J32" s="21"/>
      <c r="K32" s="1"/>
    </row>
    <row r="33" spans="2:11" x14ac:dyDescent="0.35">
      <c r="B33" s="110">
        <v>28</v>
      </c>
      <c r="C33" s="77" t="s">
        <v>87</v>
      </c>
      <c r="D33" s="108">
        <v>0</v>
      </c>
      <c r="E33" s="108">
        <v>-21789</v>
      </c>
      <c r="F33" s="109">
        <f t="shared" si="2"/>
        <v>-21789</v>
      </c>
      <c r="G33" s="109">
        <f t="shared" si="3"/>
        <v>3598550.5300000003</v>
      </c>
      <c r="H33" s="48">
        <f t="shared" si="0"/>
        <v>10.696008088837644</v>
      </c>
      <c r="I33" s="25">
        <f>+I32+0</f>
        <v>3250840.38</v>
      </c>
      <c r="J33" s="21"/>
      <c r="K33" s="1"/>
    </row>
    <row r="34" spans="2:11" hidden="1" x14ac:dyDescent="0.35">
      <c r="B34" s="40">
        <v>29</v>
      </c>
      <c r="C34" s="16" t="s">
        <v>29</v>
      </c>
      <c r="D34" s="23"/>
      <c r="E34" s="23"/>
      <c r="F34" s="24">
        <f t="shared" ref="F34:F47" si="4">+E34+D34</f>
        <v>0</v>
      </c>
      <c r="G34" s="23">
        <f t="shared" ref="G34:G38" si="5">+G33+F34</f>
        <v>3598550.5300000003</v>
      </c>
      <c r="H34" s="11">
        <v>0</v>
      </c>
      <c r="I34" s="25">
        <v>0</v>
      </c>
      <c r="J34" s="21"/>
      <c r="K34" s="1"/>
    </row>
    <row r="35" spans="2:11" hidden="1" x14ac:dyDescent="0.35">
      <c r="B35" s="40">
        <v>30</v>
      </c>
      <c r="C35" s="16" t="s">
        <v>30</v>
      </c>
      <c r="D35" s="23"/>
      <c r="E35" s="23"/>
      <c r="F35" s="24">
        <f t="shared" si="4"/>
        <v>0</v>
      </c>
      <c r="G35" s="23">
        <f t="shared" si="5"/>
        <v>3598550.5300000003</v>
      </c>
      <c r="H35" s="11">
        <v>0</v>
      </c>
      <c r="I35" s="25">
        <v>0</v>
      </c>
      <c r="J35" s="21"/>
      <c r="K35" s="1"/>
    </row>
    <row r="36" spans="2:11" hidden="1" x14ac:dyDescent="0.35">
      <c r="B36" s="40">
        <v>31</v>
      </c>
      <c r="C36" s="16" t="s">
        <v>31</v>
      </c>
      <c r="D36" s="23"/>
      <c r="E36" s="23"/>
      <c r="F36" s="24">
        <f t="shared" si="4"/>
        <v>0</v>
      </c>
      <c r="G36" s="23">
        <f t="shared" si="5"/>
        <v>3598550.5300000003</v>
      </c>
      <c r="H36" s="11">
        <v>0</v>
      </c>
      <c r="I36" s="25">
        <v>0</v>
      </c>
      <c r="J36" s="21"/>
      <c r="K36" s="1"/>
    </row>
    <row r="37" spans="2:11" hidden="1" x14ac:dyDescent="0.35">
      <c r="B37" s="40">
        <v>32</v>
      </c>
      <c r="C37" s="17" t="s">
        <v>32</v>
      </c>
      <c r="D37" s="23"/>
      <c r="E37" s="23"/>
      <c r="F37" s="24">
        <f t="shared" si="4"/>
        <v>0</v>
      </c>
      <c r="G37" s="23">
        <f t="shared" si="5"/>
        <v>3598550.5300000003</v>
      </c>
      <c r="H37" s="11">
        <v>0</v>
      </c>
      <c r="I37" s="25">
        <v>0</v>
      </c>
      <c r="J37" s="21"/>
      <c r="K37" s="1"/>
    </row>
    <row r="38" spans="2:11" hidden="1" x14ac:dyDescent="0.35">
      <c r="B38" s="40">
        <v>33</v>
      </c>
      <c r="C38" s="27" t="s">
        <v>33</v>
      </c>
      <c r="D38" s="28"/>
      <c r="E38" s="28"/>
      <c r="F38" s="29">
        <f t="shared" si="4"/>
        <v>0</v>
      </c>
      <c r="G38" s="28">
        <f t="shared" si="5"/>
        <v>3598550.5300000003</v>
      </c>
      <c r="H38" s="30">
        <v>0</v>
      </c>
      <c r="I38" s="31">
        <v>0</v>
      </c>
      <c r="J38" s="21"/>
      <c r="K38" s="1"/>
    </row>
    <row r="39" spans="2:11" hidden="1" x14ac:dyDescent="0.35">
      <c r="B39" s="40">
        <v>34</v>
      </c>
      <c r="C39" s="16" t="s">
        <v>29</v>
      </c>
      <c r="D39" s="23"/>
      <c r="E39" s="23"/>
      <c r="F39" s="24">
        <f t="shared" si="4"/>
        <v>0</v>
      </c>
      <c r="G39" s="23">
        <f>+G31+F39</f>
        <v>3620339.5300000003</v>
      </c>
      <c r="H39" s="48" t="e">
        <f t="shared" ref="H39" si="6">((G39-I39)/I39)*100</f>
        <v>#DIV/0!</v>
      </c>
      <c r="I39" s="25">
        <v>0</v>
      </c>
      <c r="J39" s="21"/>
    </row>
    <row r="40" spans="2:11" hidden="1" x14ac:dyDescent="0.35">
      <c r="B40" s="40">
        <v>35</v>
      </c>
      <c r="C40" s="16" t="s">
        <v>27</v>
      </c>
      <c r="D40" s="23"/>
      <c r="E40" s="23"/>
      <c r="F40" s="24">
        <f t="shared" si="4"/>
        <v>0</v>
      </c>
      <c r="G40" s="23">
        <f t="shared" ref="G40:G45" si="7">+G39+F40</f>
        <v>3620339.5300000003</v>
      </c>
      <c r="H40" s="11">
        <v>0</v>
      </c>
      <c r="I40" s="25">
        <v>0</v>
      </c>
      <c r="J40" s="21"/>
      <c r="K40" s="1"/>
    </row>
    <row r="41" spans="2:11" hidden="1" x14ac:dyDescent="0.35">
      <c r="B41" s="40">
        <v>36</v>
      </c>
      <c r="C41" s="16" t="s">
        <v>28</v>
      </c>
      <c r="D41" s="23"/>
      <c r="E41" s="23"/>
      <c r="F41" s="24">
        <f t="shared" si="4"/>
        <v>0</v>
      </c>
      <c r="G41" s="23">
        <f t="shared" si="7"/>
        <v>3620339.5300000003</v>
      </c>
      <c r="H41" s="11">
        <v>0</v>
      </c>
      <c r="I41" s="25">
        <v>0</v>
      </c>
      <c r="J41" s="21"/>
      <c r="K41" s="1"/>
    </row>
    <row r="42" spans="2:11" hidden="1" x14ac:dyDescent="0.35">
      <c r="B42" s="40">
        <v>37</v>
      </c>
      <c r="C42" s="16" t="s">
        <v>29</v>
      </c>
      <c r="D42" s="23"/>
      <c r="E42" s="23"/>
      <c r="F42" s="24">
        <f t="shared" si="4"/>
        <v>0</v>
      </c>
      <c r="G42" s="23">
        <f t="shared" si="7"/>
        <v>3620339.5300000003</v>
      </c>
      <c r="H42" s="11">
        <v>0</v>
      </c>
      <c r="I42" s="25">
        <v>0</v>
      </c>
      <c r="J42" s="21"/>
      <c r="K42" s="1"/>
    </row>
    <row r="43" spans="2:11" hidden="1" x14ac:dyDescent="0.35">
      <c r="B43" s="40">
        <v>38</v>
      </c>
      <c r="C43" s="16" t="s">
        <v>30</v>
      </c>
      <c r="D43" s="23"/>
      <c r="E43" s="23"/>
      <c r="F43" s="24">
        <f t="shared" si="4"/>
        <v>0</v>
      </c>
      <c r="G43" s="23">
        <f t="shared" si="7"/>
        <v>3620339.5300000003</v>
      </c>
      <c r="H43" s="11">
        <v>0</v>
      </c>
      <c r="I43" s="25">
        <v>0</v>
      </c>
      <c r="J43" s="21"/>
      <c r="K43" s="1"/>
    </row>
    <row r="44" spans="2:11" hidden="1" x14ac:dyDescent="0.35">
      <c r="B44" s="40">
        <v>39</v>
      </c>
      <c r="C44" s="16" t="s">
        <v>31</v>
      </c>
      <c r="D44" s="23"/>
      <c r="E44" s="23"/>
      <c r="F44" s="24">
        <f t="shared" si="4"/>
        <v>0</v>
      </c>
      <c r="G44" s="23">
        <f t="shared" si="7"/>
        <v>3620339.5300000003</v>
      </c>
      <c r="H44" s="11">
        <v>0</v>
      </c>
      <c r="I44" s="25">
        <v>0</v>
      </c>
      <c r="J44" s="21"/>
      <c r="K44" s="1"/>
    </row>
    <row r="45" spans="2:11" hidden="1" x14ac:dyDescent="0.35">
      <c r="B45" s="40">
        <v>40</v>
      </c>
      <c r="C45" s="17" t="s">
        <v>32</v>
      </c>
      <c r="D45" s="23"/>
      <c r="E45" s="23"/>
      <c r="F45" s="24">
        <f t="shared" si="4"/>
        <v>0</v>
      </c>
      <c r="G45" s="23">
        <f t="shared" si="7"/>
        <v>3620339.5300000003</v>
      </c>
      <c r="H45" s="11">
        <v>0</v>
      </c>
      <c r="I45" s="25">
        <v>0</v>
      </c>
      <c r="J45" s="21"/>
      <c r="K45" s="1"/>
    </row>
    <row r="46" spans="2:11" hidden="1" x14ac:dyDescent="0.35">
      <c r="B46" s="40">
        <v>41</v>
      </c>
      <c r="C46" s="17" t="s">
        <v>32</v>
      </c>
      <c r="D46" s="23"/>
      <c r="E46" s="23"/>
      <c r="F46" s="24">
        <f t="shared" si="4"/>
        <v>0</v>
      </c>
      <c r="G46" s="23">
        <f>+G29+F46</f>
        <v>3620339.5300000003</v>
      </c>
      <c r="H46" s="11">
        <v>0</v>
      </c>
      <c r="I46" s="25">
        <v>0</v>
      </c>
      <c r="J46" s="21"/>
      <c r="K46" s="1"/>
    </row>
    <row r="47" spans="2:11" hidden="1" x14ac:dyDescent="0.35">
      <c r="B47" s="40">
        <v>42</v>
      </c>
      <c r="C47" s="27" t="s">
        <v>33</v>
      </c>
      <c r="D47" s="28"/>
      <c r="E47" s="28"/>
      <c r="F47" s="29">
        <f t="shared" si="4"/>
        <v>0</v>
      </c>
      <c r="G47" s="28">
        <f t="shared" ref="G47" si="8">+G46+F47</f>
        <v>3620339.5300000003</v>
      </c>
      <c r="H47" s="30">
        <v>0</v>
      </c>
      <c r="I47" s="31">
        <v>0</v>
      </c>
      <c r="J47" s="21"/>
      <c r="K47" s="1"/>
    </row>
    <row r="48" spans="2:11" x14ac:dyDescent="0.35">
      <c r="B48" s="5"/>
      <c r="C48" s="5"/>
      <c r="D48" s="6"/>
      <c r="E48" s="6"/>
      <c r="F48" s="6"/>
      <c r="G48" s="6"/>
      <c r="H48" s="7"/>
      <c r="I48" s="6"/>
      <c r="J48" s="5"/>
      <c r="K48" s="1"/>
    </row>
    <row r="49" spans="2:11" x14ac:dyDescent="0.35">
      <c r="B49" s="8" t="s">
        <v>34</v>
      </c>
      <c r="C49" s="5"/>
      <c r="D49" s="5"/>
      <c r="E49" s="5"/>
      <c r="F49" s="5"/>
      <c r="G49" s="5"/>
      <c r="H49" s="5"/>
      <c r="I49" s="5"/>
      <c r="J49" s="5"/>
      <c r="K49" s="1"/>
    </row>
    <row r="50" spans="2:11" x14ac:dyDescent="0.35">
      <c r="B50" s="9" t="s">
        <v>35</v>
      </c>
      <c r="C50" s="5"/>
      <c r="D50" s="5"/>
      <c r="E50" s="5"/>
      <c r="F50" s="5"/>
      <c r="G50" s="5"/>
      <c r="H50" s="5"/>
      <c r="I50" s="5"/>
      <c r="J50" s="5"/>
      <c r="K50" s="1"/>
    </row>
    <row r="51" spans="2:11" x14ac:dyDescent="0.35">
      <c r="B51" s="9" t="s">
        <v>36</v>
      </c>
      <c r="C51" s="5"/>
      <c r="D51" s="5"/>
      <c r="E51" s="5"/>
      <c r="F51" s="5"/>
      <c r="G51" s="5"/>
      <c r="H51" s="5"/>
      <c r="I51" s="5"/>
      <c r="J51" s="5"/>
      <c r="K51" s="1"/>
    </row>
    <row r="52" spans="2:11" x14ac:dyDescent="0.35">
      <c r="B52" s="9" t="s">
        <v>37</v>
      </c>
      <c r="C52" s="5"/>
      <c r="D52" s="5"/>
      <c r="E52" s="5"/>
      <c r="F52" s="5"/>
      <c r="G52" s="5"/>
      <c r="H52" s="5"/>
      <c r="I52" s="5"/>
      <c r="J52" s="5"/>
      <c r="K52" s="1"/>
    </row>
    <row r="53" spans="2:11" x14ac:dyDescent="0.35">
      <c r="B53" s="9"/>
      <c r="C53" s="5"/>
      <c r="D53" s="5"/>
      <c r="E53" s="5"/>
      <c r="F53" s="5"/>
      <c r="G53" s="5"/>
      <c r="H53" s="5"/>
      <c r="I53" s="5"/>
      <c r="J53" s="5"/>
      <c r="K53" s="1"/>
    </row>
    <row r="54" spans="2:11" x14ac:dyDescent="0.35">
      <c r="B54" s="9"/>
      <c r="C54" s="5"/>
      <c r="D54" s="5"/>
      <c r="E54" s="5"/>
      <c r="F54" s="5"/>
      <c r="G54" s="5"/>
      <c r="H54" s="5"/>
      <c r="I54" s="5"/>
      <c r="J54" s="5"/>
      <c r="K54" s="1"/>
    </row>
    <row r="55" spans="2:11" ht="18.5" x14ac:dyDescent="0.45">
      <c r="B55" s="10"/>
      <c r="C55" s="10"/>
      <c r="D55" s="180" t="s">
        <v>38</v>
      </c>
      <c r="E55" s="180"/>
      <c r="F55" s="180"/>
      <c r="G55" s="180"/>
      <c r="H55" s="180"/>
      <c r="I55" s="180"/>
      <c r="J55" s="10"/>
    </row>
    <row r="56" spans="2:11" s="35" customFormat="1" ht="16" x14ac:dyDescent="0.4">
      <c r="B56" s="26"/>
      <c r="C56" s="26"/>
      <c r="D56" s="181" t="s">
        <v>45</v>
      </c>
      <c r="E56" s="181"/>
      <c r="F56" s="181"/>
      <c r="G56" s="181"/>
      <c r="H56" s="181"/>
      <c r="I56" s="181"/>
      <c r="J56" s="26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74" t="s">
        <v>6</v>
      </c>
      <c r="E58" s="175"/>
      <c r="F58" s="175"/>
      <c r="G58" s="176"/>
      <c r="H58" s="166" t="s">
        <v>7</v>
      </c>
      <c r="I58" s="167"/>
      <c r="J58" s="4"/>
    </row>
    <row r="59" spans="2:11" x14ac:dyDescent="0.35">
      <c r="B59" s="12"/>
      <c r="C59" s="13"/>
      <c r="D59" s="170" t="s">
        <v>9</v>
      </c>
      <c r="E59" s="171"/>
      <c r="F59" s="171"/>
      <c r="G59" s="172"/>
      <c r="H59" s="168"/>
      <c r="I59" s="169"/>
      <c r="J59" s="4"/>
    </row>
    <row r="60" spans="2:11" ht="14.4" customHeight="1" x14ac:dyDescent="0.35">
      <c r="B60" s="133" t="s">
        <v>10</v>
      </c>
      <c r="C60" s="135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61" t="s">
        <v>16</v>
      </c>
      <c r="I60" s="135" t="s">
        <v>17</v>
      </c>
      <c r="J60" s="19"/>
    </row>
    <row r="61" spans="2:11" ht="39" customHeight="1" x14ac:dyDescent="0.35">
      <c r="B61" s="134"/>
      <c r="C61" s="136"/>
      <c r="D61" s="163" t="s">
        <v>20</v>
      </c>
      <c r="E61" s="164"/>
      <c r="F61" s="164"/>
      <c r="G61" s="165"/>
      <c r="H61" s="162"/>
      <c r="I61" s="136"/>
      <c r="J61" s="19"/>
    </row>
    <row r="62" spans="2:11" x14ac:dyDescent="0.35">
      <c r="B62" s="40">
        <v>4</v>
      </c>
      <c r="C62" s="38" t="s">
        <v>21</v>
      </c>
      <c r="D62" s="20">
        <v>375651</v>
      </c>
      <c r="E62" s="20">
        <v>0</v>
      </c>
      <c r="F62" s="43">
        <f>+D62+E62</f>
        <v>375651</v>
      </c>
      <c r="G62" s="20">
        <f>+F62</f>
        <v>375651</v>
      </c>
      <c r="H62" s="44">
        <f t="shared" ref="H62:H69" si="9">((G62-I62)/I62)*100</f>
        <v>21.891693037525442</v>
      </c>
      <c r="I62" s="20">
        <v>308184.25</v>
      </c>
      <c r="J62" s="21"/>
    </row>
    <row r="63" spans="2:11" x14ac:dyDescent="0.35">
      <c r="B63" s="40">
        <v>5</v>
      </c>
      <c r="C63" s="38" t="s">
        <v>22</v>
      </c>
      <c r="D63" s="25">
        <v>461471.51</v>
      </c>
      <c r="E63" s="25">
        <v>0</v>
      </c>
      <c r="F63" s="47">
        <f>+E63+D63</f>
        <v>461471.51</v>
      </c>
      <c r="G63" s="25">
        <f>+G62+F63</f>
        <v>837122.51</v>
      </c>
      <c r="H63" s="48">
        <f t="shared" si="9"/>
        <v>-4.0687727384328527</v>
      </c>
      <c r="I63" s="25">
        <f>+I62+564443.5</f>
        <v>872627.75</v>
      </c>
      <c r="J63" s="21"/>
    </row>
    <row r="64" spans="2:11" x14ac:dyDescent="0.35">
      <c r="B64" s="40">
        <v>6</v>
      </c>
      <c r="C64" s="38" t="s">
        <v>23</v>
      </c>
      <c r="D64" s="25">
        <v>518051.5</v>
      </c>
      <c r="E64" s="25">
        <v>0</v>
      </c>
      <c r="F64" s="47">
        <f>+E64+D64</f>
        <v>518051.5</v>
      </c>
      <c r="G64" s="25">
        <f t="shared" ref="G64" si="10">+G63+F64</f>
        <v>1355174.01</v>
      </c>
      <c r="H64" s="48">
        <f t="shared" si="9"/>
        <v>10.925835456505892</v>
      </c>
      <c r="I64" s="25">
        <f>+I63+349066.01</f>
        <v>1221693.76</v>
      </c>
      <c r="J64" s="21"/>
    </row>
    <row r="65" spans="2:11" x14ac:dyDescent="0.35">
      <c r="B65" s="40">
        <v>7</v>
      </c>
      <c r="C65" s="38" t="s">
        <v>24</v>
      </c>
      <c r="D65" s="25">
        <v>499721.52</v>
      </c>
      <c r="E65" s="25">
        <v>225496</v>
      </c>
      <c r="F65" s="47">
        <f t="shared" ref="F65:F86" si="11">+E65+D65</f>
        <v>725217.52</v>
      </c>
      <c r="G65" s="25">
        <f>+G64+F65</f>
        <v>2080391.53</v>
      </c>
      <c r="H65" s="48">
        <f t="shared" si="9"/>
        <v>18.868171221738596</v>
      </c>
      <c r="I65" s="25">
        <f>+I64+528473.26</f>
        <v>1750167.02</v>
      </c>
      <c r="J65" s="21"/>
    </row>
    <row r="66" spans="2:11" x14ac:dyDescent="0.35">
      <c r="B66" s="40">
        <v>8</v>
      </c>
      <c r="C66" s="38" t="s">
        <v>25</v>
      </c>
      <c r="D66" s="25">
        <v>327481.5</v>
      </c>
      <c r="E66" s="25">
        <v>0</v>
      </c>
      <c r="F66" s="47">
        <f t="shared" si="11"/>
        <v>327481.5</v>
      </c>
      <c r="G66" s="25">
        <f t="shared" ref="G66:G86" si="12">+G65+F66</f>
        <v>2407873.0300000003</v>
      </c>
      <c r="H66" s="48">
        <f t="shared" si="9"/>
        <v>17.467132909585718</v>
      </c>
      <c r="I66" s="25">
        <v>2049827.02</v>
      </c>
      <c r="J66" s="21"/>
    </row>
    <row r="67" spans="2:11" x14ac:dyDescent="0.35">
      <c r="B67" s="40">
        <v>9</v>
      </c>
      <c r="C67" s="38" t="s">
        <v>26</v>
      </c>
      <c r="D67" s="25">
        <v>157341</v>
      </c>
      <c r="E67" s="25">
        <v>0</v>
      </c>
      <c r="F67" s="47">
        <f t="shared" si="11"/>
        <v>157341</v>
      </c>
      <c r="G67" s="25">
        <f t="shared" si="12"/>
        <v>2565214.0300000003</v>
      </c>
      <c r="H67" s="48">
        <f t="shared" si="9"/>
        <v>11.044338893642287</v>
      </c>
      <c r="I67" s="25">
        <f>+I66+260253.85</f>
        <v>2310080.87</v>
      </c>
      <c r="J67" s="21"/>
    </row>
    <row r="68" spans="2:11" x14ac:dyDescent="0.35">
      <c r="B68" s="40">
        <v>10</v>
      </c>
      <c r="C68" s="38" t="s">
        <v>62</v>
      </c>
      <c r="D68" s="25">
        <v>648003.5</v>
      </c>
      <c r="E68" s="25">
        <v>0</v>
      </c>
      <c r="F68" s="47">
        <f t="shared" si="11"/>
        <v>648003.5</v>
      </c>
      <c r="G68" s="25">
        <f t="shared" si="12"/>
        <v>3213217.5300000003</v>
      </c>
      <c r="H68" s="48">
        <f t="shared" si="9"/>
        <v>14.504412784345808</v>
      </c>
      <c r="I68" s="25">
        <f>+I67+496114.5</f>
        <v>2806195.37</v>
      </c>
      <c r="J68" s="21"/>
    </row>
    <row r="69" spans="2:11" x14ac:dyDescent="0.35">
      <c r="B69" s="40">
        <v>11</v>
      </c>
      <c r="C69" s="38" t="s">
        <v>63</v>
      </c>
      <c r="D69" s="25">
        <v>185132.5</v>
      </c>
      <c r="E69" s="25">
        <v>0</v>
      </c>
      <c r="F69" s="47">
        <f t="shared" si="11"/>
        <v>185132.5</v>
      </c>
      <c r="G69" s="25">
        <f t="shared" si="12"/>
        <v>3398350.0300000003</v>
      </c>
      <c r="H69" s="48">
        <f t="shared" si="9"/>
        <v>15.002028047134353</v>
      </c>
      <c r="I69" s="25">
        <f>+I68+148839.5</f>
        <v>2955034.87</v>
      </c>
      <c r="J69" s="21"/>
    </row>
    <row r="70" spans="2:11" x14ac:dyDescent="0.35">
      <c r="B70" s="40">
        <v>12</v>
      </c>
      <c r="C70" s="38" t="s">
        <v>78</v>
      </c>
      <c r="D70" s="25">
        <v>105394.5</v>
      </c>
      <c r="E70" s="25">
        <v>0</v>
      </c>
      <c r="F70" s="47">
        <f t="shared" si="11"/>
        <v>105394.5</v>
      </c>
      <c r="G70" s="25">
        <f t="shared" si="12"/>
        <v>3503744.5300000003</v>
      </c>
      <c r="H70" s="48">
        <f>((G70-I70)/I70)*100</f>
        <v>17.380937360284854</v>
      </c>
      <c r="I70" s="25">
        <f>+I69+29900</f>
        <v>2984934.87</v>
      </c>
      <c r="J70" s="21"/>
    </row>
    <row r="71" spans="2:11" x14ac:dyDescent="0.35">
      <c r="B71" s="40">
        <v>13</v>
      </c>
      <c r="C71" s="38" t="s">
        <v>64</v>
      </c>
      <c r="D71" s="25">
        <v>28497.5</v>
      </c>
      <c r="E71" s="25">
        <v>0</v>
      </c>
      <c r="F71" s="47">
        <f t="shared" si="11"/>
        <v>28497.5</v>
      </c>
      <c r="G71" s="25">
        <f t="shared" si="12"/>
        <v>3532242.0300000003</v>
      </c>
      <c r="H71" s="48">
        <f>((G71-I71)/I71)*100</f>
        <v>15.759943070722645</v>
      </c>
      <c r="I71" s="25">
        <v>3051350.87</v>
      </c>
      <c r="J71" s="21"/>
    </row>
    <row r="72" spans="2:11" x14ac:dyDescent="0.35">
      <c r="B72" s="40">
        <v>14</v>
      </c>
      <c r="C72" s="58" t="s">
        <v>65</v>
      </c>
      <c r="D72" s="25">
        <v>895</v>
      </c>
      <c r="E72" s="25">
        <v>0</v>
      </c>
      <c r="F72" s="47">
        <f t="shared" si="11"/>
        <v>895</v>
      </c>
      <c r="G72" s="25">
        <f t="shared" si="12"/>
        <v>3533137.0300000003</v>
      </c>
      <c r="H72" s="48">
        <f>((G72-I72)/I72)*100</f>
        <v>15.775615073258894</v>
      </c>
      <c r="I72" s="25">
        <f>+I71+360</f>
        <v>3051710.87</v>
      </c>
      <c r="J72" s="21"/>
    </row>
    <row r="73" spans="2:11" x14ac:dyDescent="0.35">
      <c r="B73" s="40">
        <v>15</v>
      </c>
      <c r="C73" s="38" t="s">
        <v>66</v>
      </c>
      <c r="D73" s="25">
        <v>4500</v>
      </c>
      <c r="E73" s="25">
        <v>0</v>
      </c>
      <c r="F73" s="47">
        <f t="shared" si="11"/>
        <v>4500</v>
      </c>
      <c r="G73" s="25">
        <f t="shared" si="12"/>
        <v>3537637.0300000003</v>
      </c>
      <c r="H73" s="48">
        <f>((G73-I73)/I73)*100</f>
        <v>15.524698718602655</v>
      </c>
      <c r="I73" s="25">
        <f>+I72+10523.5</f>
        <v>3062234.37</v>
      </c>
      <c r="J73" s="21"/>
    </row>
    <row r="74" spans="2:11" x14ac:dyDescent="0.35">
      <c r="B74" s="40">
        <v>16</v>
      </c>
      <c r="C74" s="38" t="s">
        <v>67</v>
      </c>
      <c r="D74" s="25">
        <v>34768</v>
      </c>
      <c r="E74" s="25">
        <v>0</v>
      </c>
      <c r="F74" s="47">
        <f t="shared" si="11"/>
        <v>34768</v>
      </c>
      <c r="G74" s="25">
        <f t="shared" si="12"/>
        <v>3572405.0300000003</v>
      </c>
      <c r="H74" s="48">
        <f t="shared" ref="H74:H86" si="13">((G74-I74)/I74)*100</f>
        <v>15.99527826760186</v>
      </c>
      <c r="I74" s="25">
        <v>3079784.87</v>
      </c>
      <c r="J74" s="21"/>
    </row>
    <row r="75" spans="2:11" x14ac:dyDescent="0.35">
      <c r="B75" s="40">
        <v>17</v>
      </c>
      <c r="C75" s="38" t="s">
        <v>68</v>
      </c>
      <c r="D75" s="25">
        <v>879</v>
      </c>
      <c r="E75" s="25">
        <v>0</v>
      </c>
      <c r="F75" s="47">
        <f t="shared" si="11"/>
        <v>879</v>
      </c>
      <c r="G75" s="25">
        <f t="shared" si="12"/>
        <v>3573284.0300000003</v>
      </c>
      <c r="H75" s="48">
        <f t="shared" si="13"/>
        <v>16.003686656685868</v>
      </c>
      <c r="I75" s="25">
        <v>3080319.37</v>
      </c>
      <c r="J75" s="21"/>
    </row>
    <row r="76" spans="2:11" x14ac:dyDescent="0.35">
      <c r="B76" s="40">
        <v>18</v>
      </c>
      <c r="C76" s="38" t="s">
        <v>69</v>
      </c>
      <c r="D76" s="25">
        <v>228</v>
      </c>
      <c r="E76" s="25">
        <v>0</v>
      </c>
      <c r="F76" s="47">
        <f t="shared" si="11"/>
        <v>228</v>
      </c>
      <c r="G76" s="25">
        <f t="shared" si="12"/>
        <v>3573512.0300000003</v>
      </c>
      <c r="H76" s="48">
        <f t="shared" si="13"/>
        <v>14.92981552303856</v>
      </c>
      <c r="I76" s="25">
        <f>+I75+28980</f>
        <v>3109299.37</v>
      </c>
      <c r="J76" s="21"/>
    </row>
    <row r="77" spans="2:11" x14ac:dyDescent="0.35">
      <c r="B77" s="40">
        <v>19</v>
      </c>
      <c r="C77" s="38" t="s">
        <v>70</v>
      </c>
      <c r="D77" s="25">
        <v>10036.5</v>
      </c>
      <c r="E77" s="25">
        <v>0</v>
      </c>
      <c r="F77" s="47">
        <f t="shared" si="11"/>
        <v>10036.5</v>
      </c>
      <c r="G77" s="25">
        <f t="shared" si="12"/>
        <v>3583548.5300000003</v>
      </c>
      <c r="H77" s="48">
        <f t="shared" si="13"/>
        <v>15.252605283871398</v>
      </c>
      <c r="I77" s="25">
        <f>+I76+0</f>
        <v>3109299.37</v>
      </c>
      <c r="J77" s="21"/>
    </row>
    <row r="78" spans="2:11" x14ac:dyDescent="0.35">
      <c r="B78" s="40">
        <v>20</v>
      </c>
      <c r="C78" s="38" t="s">
        <v>71</v>
      </c>
      <c r="D78" s="25">
        <v>0</v>
      </c>
      <c r="E78" s="25">
        <v>0</v>
      </c>
      <c r="F78" s="47">
        <f t="shared" si="11"/>
        <v>0</v>
      </c>
      <c r="G78" s="25">
        <f t="shared" si="12"/>
        <v>3583548.5300000003</v>
      </c>
      <c r="H78" s="48">
        <f t="shared" si="13"/>
        <v>15.252605283871398</v>
      </c>
      <c r="I78" s="25">
        <f>+I77+0</f>
        <v>3109299.37</v>
      </c>
      <c r="J78" s="21"/>
    </row>
    <row r="79" spans="2:11" x14ac:dyDescent="0.35">
      <c r="B79" s="40">
        <v>21</v>
      </c>
      <c r="C79" s="38" t="s">
        <v>72</v>
      </c>
      <c r="D79" s="25">
        <v>0</v>
      </c>
      <c r="E79" s="25">
        <v>0</v>
      </c>
      <c r="F79" s="47">
        <f t="shared" si="11"/>
        <v>0</v>
      </c>
      <c r="G79" s="25">
        <f t="shared" si="12"/>
        <v>3583548.5300000003</v>
      </c>
      <c r="H79" s="48">
        <f t="shared" si="13"/>
        <v>15.252605283871398</v>
      </c>
      <c r="I79" s="25">
        <f>+I78+0</f>
        <v>3109299.37</v>
      </c>
      <c r="J79" s="21"/>
      <c r="K79" s="1"/>
    </row>
    <row r="80" spans="2:11" x14ac:dyDescent="0.35">
      <c r="B80" s="40">
        <v>22</v>
      </c>
      <c r="C80" s="38" t="s">
        <v>73</v>
      </c>
      <c r="D80" s="25">
        <v>0</v>
      </c>
      <c r="E80" s="25">
        <v>0</v>
      </c>
      <c r="F80" s="47">
        <f t="shared" si="11"/>
        <v>0</v>
      </c>
      <c r="G80" s="25">
        <f t="shared" si="12"/>
        <v>3583548.5300000003</v>
      </c>
      <c r="H80" s="48">
        <f t="shared" si="13"/>
        <v>15.252605283871398</v>
      </c>
      <c r="I80" s="25">
        <f>+I79+0</f>
        <v>3109299.37</v>
      </c>
      <c r="J80" s="21"/>
      <c r="K80" s="1"/>
    </row>
    <row r="81" spans="2:11" x14ac:dyDescent="0.35">
      <c r="B81" s="40">
        <v>23</v>
      </c>
      <c r="C81" s="38" t="s">
        <v>80</v>
      </c>
      <c r="D81" s="25">
        <v>8871.5</v>
      </c>
      <c r="E81" s="25">
        <v>0</v>
      </c>
      <c r="F81" s="47">
        <f t="shared" si="11"/>
        <v>8871.5</v>
      </c>
      <c r="G81" s="25">
        <f t="shared" si="12"/>
        <v>3592420.0300000003</v>
      </c>
      <c r="H81" s="48">
        <f t="shared" si="13"/>
        <v>15.537926796672529</v>
      </c>
      <c r="I81" s="25">
        <f>+I80+0</f>
        <v>3109299.37</v>
      </c>
      <c r="J81" s="21"/>
      <c r="K81" s="1"/>
    </row>
    <row r="82" spans="2:11" x14ac:dyDescent="0.35">
      <c r="B82" s="40">
        <v>24</v>
      </c>
      <c r="C82" s="38" t="s">
        <v>75</v>
      </c>
      <c r="D82" s="25">
        <v>0</v>
      </c>
      <c r="E82" s="25">
        <v>0</v>
      </c>
      <c r="F82" s="47">
        <f t="shared" si="11"/>
        <v>0</v>
      </c>
      <c r="G82" s="25">
        <f t="shared" si="12"/>
        <v>3592420.0300000003</v>
      </c>
      <c r="H82" s="48">
        <f t="shared" si="13"/>
        <v>10.708045313175282</v>
      </c>
      <c r="I82" s="25">
        <f>+I81+135650.01</f>
        <v>3244949.38</v>
      </c>
      <c r="J82" s="21"/>
      <c r="K82" s="1"/>
    </row>
    <row r="83" spans="2:11" x14ac:dyDescent="0.35">
      <c r="B83" s="40">
        <v>25</v>
      </c>
      <c r="C83" s="77" t="s">
        <v>76</v>
      </c>
      <c r="D83" s="25">
        <v>0</v>
      </c>
      <c r="E83" s="25">
        <v>0</v>
      </c>
      <c r="F83" s="47">
        <f t="shared" si="11"/>
        <v>0</v>
      </c>
      <c r="G83" s="25">
        <f t="shared" si="12"/>
        <v>3592420.0300000003</v>
      </c>
      <c r="H83" s="48">
        <f t="shared" si="13"/>
        <v>10.708045313175282</v>
      </c>
      <c r="I83" s="25">
        <f>+I82+0</f>
        <v>3244949.38</v>
      </c>
      <c r="J83" s="21"/>
      <c r="K83" s="1"/>
    </row>
    <row r="84" spans="2:11" x14ac:dyDescent="0.35">
      <c r="B84" s="111">
        <v>26</v>
      </c>
      <c r="C84" s="112" t="s">
        <v>77</v>
      </c>
      <c r="D84" s="105">
        <v>0</v>
      </c>
      <c r="E84" s="106">
        <v>0</v>
      </c>
      <c r="F84" s="107">
        <f t="shared" si="11"/>
        <v>0</v>
      </c>
      <c r="G84" s="106">
        <f t="shared" si="12"/>
        <v>3592420.0300000003</v>
      </c>
      <c r="H84" s="48">
        <f t="shared" si="13"/>
        <v>10.708045313175282</v>
      </c>
      <c r="I84" s="25">
        <f>+I83+0</f>
        <v>3244949.38</v>
      </c>
      <c r="J84" s="21"/>
      <c r="K84" s="1"/>
    </row>
    <row r="85" spans="2:11" x14ac:dyDescent="0.35">
      <c r="B85" s="111">
        <v>27</v>
      </c>
      <c r="C85" s="77" t="s">
        <v>81</v>
      </c>
      <c r="D85" s="119">
        <v>0</v>
      </c>
      <c r="E85" s="120">
        <v>0</v>
      </c>
      <c r="F85" s="121">
        <f t="shared" si="11"/>
        <v>0</v>
      </c>
      <c r="G85" s="120">
        <f t="shared" si="12"/>
        <v>3592420.0300000003</v>
      </c>
      <c r="H85" s="48">
        <f t="shared" si="13"/>
        <v>10.708045313175282</v>
      </c>
      <c r="I85" s="25">
        <f>+I84+0</f>
        <v>3244949.38</v>
      </c>
      <c r="J85" s="21"/>
      <c r="K85" s="1"/>
    </row>
    <row r="86" spans="2:11" x14ac:dyDescent="0.35">
      <c r="B86" s="110">
        <v>28</v>
      </c>
      <c r="C86" s="77" t="s">
        <v>87</v>
      </c>
      <c r="D86" s="108">
        <v>0</v>
      </c>
      <c r="E86" s="108">
        <v>-21789</v>
      </c>
      <c r="F86" s="109">
        <f t="shared" si="11"/>
        <v>-21789</v>
      </c>
      <c r="G86" s="109">
        <f t="shared" si="12"/>
        <v>3570631.0300000003</v>
      </c>
      <c r="H86" s="48">
        <f t="shared" si="13"/>
        <v>10.036571048143758</v>
      </c>
      <c r="I86" s="25">
        <f>+I85+0</f>
        <v>3244949.38</v>
      </c>
      <c r="J86" s="21"/>
    </row>
    <row r="87" spans="2:11" hidden="1" x14ac:dyDescent="0.35">
      <c r="B87" s="40">
        <v>29</v>
      </c>
      <c r="C87" s="16" t="s">
        <v>27</v>
      </c>
      <c r="D87" s="23"/>
      <c r="E87" s="23"/>
      <c r="F87" s="24">
        <f t="shared" ref="F87:F93" si="14">+E87+D87</f>
        <v>0</v>
      </c>
      <c r="G87" s="23">
        <f t="shared" ref="G87:G93" si="15">+G86+F87</f>
        <v>3570631.0300000003</v>
      </c>
      <c r="H87" s="11">
        <v>0</v>
      </c>
      <c r="I87" s="25">
        <v>0</v>
      </c>
      <c r="J87" s="21"/>
      <c r="K87" s="1"/>
    </row>
    <row r="88" spans="2:11" hidden="1" x14ac:dyDescent="0.35">
      <c r="B88" s="40">
        <v>30</v>
      </c>
      <c r="C88" s="16" t="s">
        <v>28</v>
      </c>
      <c r="D88" s="23"/>
      <c r="E88" s="23"/>
      <c r="F88" s="24">
        <f t="shared" si="14"/>
        <v>0</v>
      </c>
      <c r="G88" s="23">
        <f t="shared" si="15"/>
        <v>3570631.0300000003</v>
      </c>
      <c r="H88" s="11">
        <v>0</v>
      </c>
      <c r="I88" s="25">
        <v>0</v>
      </c>
      <c r="J88" s="21"/>
      <c r="K88" s="1"/>
    </row>
    <row r="89" spans="2:11" hidden="1" x14ac:dyDescent="0.35">
      <c r="B89" s="40">
        <v>31</v>
      </c>
      <c r="C89" s="16" t="s">
        <v>29</v>
      </c>
      <c r="D89" s="23"/>
      <c r="E89" s="23"/>
      <c r="F89" s="24">
        <f t="shared" si="14"/>
        <v>0</v>
      </c>
      <c r="G89" s="23">
        <f t="shared" si="15"/>
        <v>3570631.0300000003</v>
      </c>
      <c r="H89" s="11">
        <v>0</v>
      </c>
      <c r="I89" s="25">
        <v>0</v>
      </c>
      <c r="J89" s="21"/>
      <c r="K89" s="1"/>
    </row>
    <row r="90" spans="2:11" hidden="1" x14ac:dyDescent="0.35">
      <c r="B90" s="40">
        <v>32</v>
      </c>
      <c r="C90" s="16" t="s">
        <v>30</v>
      </c>
      <c r="D90" s="23"/>
      <c r="E90" s="23"/>
      <c r="F90" s="24">
        <f t="shared" si="14"/>
        <v>0</v>
      </c>
      <c r="G90" s="23">
        <f t="shared" si="15"/>
        <v>3570631.0300000003</v>
      </c>
      <c r="H90" s="11">
        <v>0</v>
      </c>
      <c r="I90" s="25">
        <v>0</v>
      </c>
      <c r="J90" s="21"/>
      <c r="K90" s="1"/>
    </row>
    <row r="91" spans="2:11" hidden="1" x14ac:dyDescent="0.35">
      <c r="B91" s="40">
        <v>33</v>
      </c>
      <c r="C91" s="16" t="s">
        <v>31</v>
      </c>
      <c r="D91" s="23"/>
      <c r="E91" s="23"/>
      <c r="F91" s="24">
        <f t="shared" si="14"/>
        <v>0</v>
      </c>
      <c r="G91" s="23">
        <f t="shared" si="15"/>
        <v>3570631.0300000003</v>
      </c>
      <c r="H91" s="11">
        <v>0</v>
      </c>
      <c r="I91" s="25">
        <v>0</v>
      </c>
      <c r="J91" s="21"/>
      <c r="K91" s="1"/>
    </row>
    <row r="92" spans="2:11" hidden="1" x14ac:dyDescent="0.35">
      <c r="B92" s="40">
        <v>34</v>
      </c>
      <c r="C92" s="17" t="s">
        <v>32</v>
      </c>
      <c r="D92" s="23"/>
      <c r="E92" s="23"/>
      <c r="F92" s="24">
        <f t="shared" si="14"/>
        <v>0</v>
      </c>
      <c r="G92" s="23">
        <f t="shared" si="15"/>
        <v>3570631.0300000003</v>
      </c>
      <c r="H92" s="11">
        <v>0</v>
      </c>
      <c r="I92" s="25">
        <v>0</v>
      </c>
      <c r="J92" s="21"/>
      <c r="K92" s="1"/>
    </row>
    <row r="93" spans="2:11" hidden="1" x14ac:dyDescent="0.35">
      <c r="B93" s="40">
        <v>35</v>
      </c>
      <c r="C93" s="27" t="s">
        <v>33</v>
      </c>
      <c r="D93" s="28"/>
      <c r="E93" s="28"/>
      <c r="F93" s="29">
        <f t="shared" si="14"/>
        <v>0</v>
      </c>
      <c r="G93" s="28">
        <f t="shared" si="15"/>
        <v>3570631.0300000003</v>
      </c>
      <c r="H93" s="30">
        <v>0</v>
      </c>
      <c r="I93" s="31">
        <v>0</v>
      </c>
      <c r="J93" s="21"/>
      <c r="K93" s="1"/>
    </row>
    <row r="94" spans="2:11" hidden="1" x14ac:dyDescent="0.35">
      <c r="B94" s="40">
        <v>36</v>
      </c>
      <c r="C94" s="16" t="s">
        <v>29</v>
      </c>
      <c r="D94" s="23"/>
      <c r="E94" s="23"/>
      <c r="F94" s="24">
        <f t="shared" ref="F94:F100" si="16">+E94+D94</f>
        <v>0</v>
      </c>
      <c r="G94" s="23">
        <f>+G86+F94</f>
        <v>3570631.0300000003</v>
      </c>
      <c r="H94" s="48" t="e">
        <f t="shared" ref="H94" si="17">((G94-I94)/I94)*100</f>
        <v>#DIV/0!</v>
      </c>
      <c r="I94" s="25">
        <v>0</v>
      </c>
      <c r="J94" s="21"/>
    </row>
    <row r="95" spans="2:11" hidden="1" x14ac:dyDescent="0.35">
      <c r="B95" s="40">
        <v>37</v>
      </c>
      <c r="C95" s="16" t="s">
        <v>27</v>
      </c>
      <c r="D95" s="23"/>
      <c r="E95" s="23"/>
      <c r="F95" s="24">
        <f t="shared" si="16"/>
        <v>0</v>
      </c>
      <c r="G95" s="23">
        <f t="shared" ref="G95:G100" si="18">+G94+F95</f>
        <v>3570631.0300000003</v>
      </c>
      <c r="H95" s="11">
        <v>0</v>
      </c>
      <c r="I95" s="25">
        <v>0</v>
      </c>
      <c r="J95" s="21"/>
      <c r="K95" s="1"/>
    </row>
    <row r="96" spans="2:11" hidden="1" x14ac:dyDescent="0.35">
      <c r="B96" s="40">
        <v>38</v>
      </c>
      <c r="C96" s="16" t="s">
        <v>28</v>
      </c>
      <c r="D96" s="23"/>
      <c r="E96" s="23"/>
      <c r="F96" s="24">
        <f t="shared" si="16"/>
        <v>0</v>
      </c>
      <c r="G96" s="23">
        <f t="shared" si="18"/>
        <v>3570631.0300000003</v>
      </c>
      <c r="H96" s="11">
        <v>0</v>
      </c>
      <c r="I96" s="25">
        <v>0</v>
      </c>
      <c r="J96" s="21"/>
      <c r="K96" s="1"/>
    </row>
    <row r="97" spans="2:11" hidden="1" x14ac:dyDescent="0.35">
      <c r="B97" s="40">
        <v>39</v>
      </c>
      <c r="C97" s="16" t="s">
        <v>29</v>
      </c>
      <c r="D97" s="23"/>
      <c r="E97" s="23"/>
      <c r="F97" s="24">
        <f t="shared" si="16"/>
        <v>0</v>
      </c>
      <c r="G97" s="23">
        <f t="shared" si="18"/>
        <v>3570631.0300000003</v>
      </c>
      <c r="H97" s="11">
        <v>0</v>
      </c>
      <c r="I97" s="25">
        <v>0</v>
      </c>
      <c r="J97" s="21"/>
      <c r="K97" s="1"/>
    </row>
    <row r="98" spans="2:11" hidden="1" x14ac:dyDescent="0.35">
      <c r="B98" s="40">
        <v>40</v>
      </c>
      <c r="C98" s="16" t="s">
        <v>30</v>
      </c>
      <c r="D98" s="23"/>
      <c r="E98" s="23"/>
      <c r="F98" s="24">
        <f t="shared" si="16"/>
        <v>0</v>
      </c>
      <c r="G98" s="23">
        <f t="shared" si="18"/>
        <v>3570631.0300000003</v>
      </c>
      <c r="H98" s="11">
        <v>0</v>
      </c>
      <c r="I98" s="25">
        <v>0</v>
      </c>
      <c r="J98" s="21"/>
      <c r="K98" s="1"/>
    </row>
    <row r="99" spans="2:11" hidden="1" x14ac:dyDescent="0.35">
      <c r="B99" s="40">
        <v>41</v>
      </c>
      <c r="C99" s="16" t="s">
        <v>31</v>
      </c>
      <c r="D99" s="23"/>
      <c r="E99" s="23"/>
      <c r="F99" s="24">
        <f t="shared" si="16"/>
        <v>0</v>
      </c>
      <c r="G99" s="23">
        <f t="shared" si="18"/>
        <v>3570631.0300000003</v>
      </c>
      <c r="H99" s="11">
        <v>0</v>
      </c>
      <c r="I99" s="25">
        <v>0</v>
      </c>
      <c r="J99" s="21"/>
      <c r="K99" s="1"/>
    </row>
    <row r="100" spans="2:11" hidden="1" x14ac:dyDescent="0.35">
      <c r="B100" s="40">
        <v>42</v>
      </c>
      <c r="C100" s="17" t="s">
        <v>32</v>
      </c>
      <c r="D100" s="23"/>
      <c r="E100" s="23"/>
      <c r="F100" s="24">
        <f t="shared" si="16"/>
        <v>0</v>
      </c>
      <c r="G100" s="23">
        <f t="shared" si="18"/>
        <v>3570631.0300000003</v>
      </c>
      <c r="H100" s="11">
        <v>0</v>
      </c>
      <c r="I100" s="25">
        <v>0</v>
      </c>
      <c r="J100" s="21"/>
      <c r="K100" s="1"/>
    </row>
    <row r="101" spans="2:11" x14ac:dyDescent="0.35">
      <c r="B101" s="5"/>
      <c r="C101" s="5"/>
      <c r="D101" s="6"/>
      <c r="E101" s="6"/>
      <c r="F101" s="6"/>
      <c r="G101" s="6"/>
      <c r="H101" s="7"/>
      <c r="I101" s="6"/>
      <c r="J101" s="5"/>
    </row>
    <row r="102" spans="2:11" x14ac:dyDescent="0.35">
      <c r="B102" s="8" t="s">
        <v>34</v>
      </c>
      <c r="C102" s="5"/>
      <c r="D102" s="5"/>
      <c r="E102" s="5"/>
      <c r="F102" s="5"/>
      <c r="G102" s="5"/>
      <c r="H102" s="5"/>
      <c r="I102" s="5"/>
      <c r="J102" s="5"/>
    </row>
    <row r="103" spans="2:11" x14ac:dyDescent="0.35">
      <c r="B103" s="9" t="s">
        <v>35</v>
      </c>
      <c r="C103" s="5"/>
      <c r="D103" s="5"/>
      <c r="E103" s="5"/>
      <c r="F103" s="5"/>
      <c r="G103" s="5"/>
      <c r="H103" s="5"/>
      <c r="I103" s="5"/>
      <c r="J103" s="5"/>
    </row>
    <row r="104" spans="2:11" x14ac:dyDescent="0.35">
      <c r="B104" s="9" t="s">
        <v>36</v>
      </c>
      <c r="C104" s="5"/>
      <c r="D104" s="5"/>
      <c r="E104" s="5"/>
      <c r="F104" s="5"/>
      <c r="G104" s="5"/>
      <c r="H104" s="5"/>
      <c r="I104" s="5"/>
      <c r="J104" s="5"/>
    </row>
    <row r="105" spans="2:11" x14ac:dyDescent="0.35">
      <c r="B105" s="9" t="s">
        <v>37</v>
      </c>
      <c r="C105" s="5"/>
      <c r="D105" s="5"/>
      <c r="E105" s="5"/>
      <c r="F105" s="5"/>
      <c r="G105" s="5"/>
      <c r="H105" s="5"/>
      <c r="I105" s="5"/>
      <c r="J105" s="5"/>
    </row>
    <row r="106" spans="2:11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1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1" ht="18.5" x14ac:dyDescent="0.45">
      <c r="B108" s="10"/>
      <c r="C108" s="10"/>
      <c r="D108" s="178" t="s">
        <v>40</v>
      </c>
      <c r="E108" s="178"/>
      <c r="F108" s="178"/>
      <c r="G108" s="178"/>
      <c r="H108" s="178"/>
      <c r="I108" s="178"/>
      <c r="J108" s="10"/>
    </row>
    <row r="109" spans="2:11" s="35" customFormat="1" ht="16" x14ac:dyDescent="0.4">
      <c r="B109" s="26"/>
      <c r="C109" s="26"/>
      <c r="D109" s="179" t="s">
        <v>45</v>
      </c>
      <c r="E109" s="179"/>
      <c r="F109" s="179"/>
      <c r="G109" s="179"/>
      <c r="H109" s="179"/>
      <c r="I109" s="179"/>
      <c r="J109" s="26"/>
    </row>
    <row r="110" spans="2:11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1" ht="14.4" customHeight="1" x14ac:dyDescent="0.35">
      <c r="B111" s="14"/>
      <c r="C111" s="15"/>
      <c r="D111" s="174" t="s">
        <v>6</v>
      </c>
      <c r="E111" s="175"/>
      <c r="F111" s="175"/>
      <c r="G111" s="176"/>
      <c r="H111" s="166" t="s">
        <v>7</v>
      </c>
      <c r="I111" s="167"/>
      <c r="J111" s="4"/>
    </row>
    <row r="112" spans="2:11" x14ac:dyDescent="0.35">
      <c r="B112" s="12"/>
      <c r="C112" s="13"/>
      <c r="D112" s="170" t="s">
        <v>9</v>
      </c>
      <c r="E112" s="171"/>
      <c r="F112" s="171"/>
      <c r="G112" s="172"/>
      <c r="H112" s="168"/>
      <c r="I112" s="169"/>
      <c r="J112" s="4"/>
    </row>
    <row r="113" spans="2:10" ht="14.4" customHeight="1" x14ac:dyDescent="0.35">
      <c r="B113" s="133" t="s">
        <v>10</v>
      </c>
      <c r="C113" s="135" t="s">
        <v>11</v>
      </c>
      <c r="D113" s="18" t="s">
        <v>12</v>
      </c>
      <c r="E113" s="18" t="s">
        <v>13</v>
      </c>
      <c r="F113" s="18" t="s">
        <v>14</v>
      </c>
      <c r="G113" s="18" t="s">
        <v>15</v>
      </c>
      <c r="H113" s="161" t="s">
        <v>16</v>
      </c>
      <c r="I113" s="135" t="s">
        <v>17</v>
      </c>
      <c r="J113" s="19"/>
    </row>
    <row r="114" spans="2:10" ht="40.4" customHeight="1" x14ac:dyDescent="0.35">
      <c r="B114" s="134"/>
      <c r="C114" s="136"/>
      <c r="D114" s="163" t="s">
        <v>20</v>
      </c>
      <c r="E114" s="164"/>
      <c r="F114" s="164"/>
      <c r="G114" s="165"/>
      <c r="H114" s="162"/>
      <c r="I114" s="136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e">
        <f t="shared" ref="H115:H132" si="19">((G115-I115)/I115)*100</f>
        <v>#DIV/0!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0</v>
      </c>
      <c r="E116" s="25">
        <v>0</v>
      </c>
      <c r="F116" s="47">
        <f>+E116+D116</f>
        <v>0</v>
      </c>
      <c r="G116" s="25">
        <f>+G115+F116</f>
        <v>0</v>
      </c>
      <c r="H116" s="48" t="e">
        <f t="shared" si="19"/>
        <v>#DIV/0!</v>
      </c>
      <c r="I116" s="25">
        <v>0</v>
      </c>
      <c r="J116" s="21"/>
    </row>
    <row r="117" spans="2:10" x14ac:dyDescent="0.35">
      <c r="B117" s="40">
        <v>6</v>
      </c>
      <c r="C117" s="38" t="s">
        <v>23</v>
      </c>
      <c r="D117" s="25">
        <v>0</v>
      </c>
      <c r="E117" s="25">
        <v>0</v>
      </c>
      <c r="F117" s="47">
        <f>+E117+D117</f>
        <v>0</v>
      </c>
      <c r="G117" s="25">
        <f t="shared" ref="G117" si="20">+G116+F117</f>
        <v>0</v>
      </c>
      <c r="H117" s="48" t="e">
        <f t="shared" si="19"/>
        <v>#DIV/0!</v>
      </c>
      <c r="I117" s="25">
        <v>0</v>
      </c>
      <c r="J117" s="21"/>
    </row>
    <row r="118" spans="2:10" x14ac:dyDescent="0.35">
      <c r="B118" s="40">
        <v>7</v>
      </c>
      <c r="C118" s="38" t="s">
        <v>24</v>
      </c>
      <c r="D118" s="25">
        <v>3184.5</v>
      </c>
      <c r="E118" s="25">
        <v>0</v>
      </c>
      <c r="F118" s="47">
        <f t="shared" ref="F118:F139" si="21">+E118+D118</f>
        <v>3184.5</v>
      </c>
      <c r="G118" s="25">
        <f>+G117+F118</f>
        <v>3184.5</v>
      </c>
      <c r="H118" s="48" t="e">
        <f t="shared" si="19"/>
        <v>#DIV/0!</v>
      </c>
      <c r="I118" s="25">
        <v>0</v>
      </c>
      <c r="J118" s="21"/>
    </row>
    <row r="119" spans="2:10" x14ac:dyDescent="0.35">
      <c r="B119" s="40">
        <v>8</v>
      </c>
      <c r="C119" s="38" t="s">
        <v>25</v>
      </c>
      <c r="D119" s="25">
        <v>0</v>
      </c>
      <c r="E119" s="25">
        <v>0</v>
      </c>
      <c r="F119" s="47">
        <f t="shared" si="21"/>
        <v>0</v>
      </c>
      <c r="G119" s="25">
        <f t="shared" ref="G119:G139" si="22">+G118+F119</f>
        <v>3184.5</v>
      </c>
      <c r="H119" s="48" t="e">
        <f t="shared" si="19"/>
        <v>#DIV/0!</v>
      </c>
      <c r="I119" s="25">
        <v>0</v>
      </c>
      <c r="J119" s="21"/>
    </row>
    <row r="120" spans="2:10" x14ac:dyDescent="0.35">
      <c r="B120" s="40">
        <v>9</v>
      </c>
      <c r="C120" s="38" t="s">
        <v>26</v>
      </c>
      <c r="D120" s="25">
        <v>0</v>
      </c>
      <c r="E120" s="25">
        <v>0</v>
      </c>
      <c r="F120" s="47">
        <f t="shared" si="21"/>
        <v>0</v>
      </c>
      <c r="G120" s="25">
        <f t="shared" si="22"/>
        <v>3184.5</v>
      </c>
      <c r="H120" s="48" t="e">
        <f t="shared" si="19"/>
        <v>#DIV/0!</v>
      </c>
      <c r="I120" s="25">
        <v>0</v>
      </c>
      <c r="J120" s="21"/>
    </row>
    <row r="121" spans="2:10" x14ac:dyDescent="0.35">
      <c r="B121" s="40">
        <v>10</v>
      </c>
      <c r="C121" s="38" t="s">
        <v>62</v>
      </c>
      <c r="D121" s="25">
        <v>0</v>
      </c>
      <c r="E121" s="25">
        <v>0</v>
      </c>
      <c r="F121" s="47">
        <f t="shared" si="21"/>
        <v>0</v>
      </c>
      <c r="G121" s="25">
        <f t="shared" si="22"/>
        <v>3184.5</v>
      </c>
      <c r="H121" s="48" t="e">
        <f t="shared" si="19"/>
        <v>#DIV/0!</v>
      </c>
      <c r="I121" s="25">
        <v>0</v>
      </c>
      <c r="J121" s="21"/>
    </row>
    <row r="122" spans="2:10" x14ac:dyDescent="0.35">
      <c r="B122" s="40">
        <v>11</v>
      </c>
      <c r="C122" s="38" t="s">
        <v>63</v>
      </c>
      <c r="D122" s="25">
        <v>0</v>
      </c>
      <c r="E122" s="25">
        <v>0</v>
      </c>
      <c r="F122" s="47">
        <f t="shared" si="21"/>
        <v>0</v>
      </c>
      <c r="G122" s="25">
        <f t="shared" si="22"/>
        <v>3184.5</v>
      </c>
      <c r="H122" s="48" t="e">
        <f t="shared" si="19"/>
        <v>#DIV/0!</v>
      </c>
      <c r="I122" s="25">
        <v>0</v>
      </c>
      <c r="J122" s="21"/>
    </row>
    <row r="123" spans="2:10" x14ac:dyDescent="0.35">
      <c r="B123" s="40">
        <v>12</v>
      </c>
      <c r="C123" s="38" t="s">
        <v>78</v>
      </c>
      <c r="D123" s="25">
        <v>0</v>
      </c>
      <c r="E123" s="25">
        <v>0</v>
      </c>
      <c r="F123" s="47">
        <f t="shared" si="21"/>
        <v>0</v>
      </c>
      <c r="G123" s="25">
        <f t="shared" si="22"/>
        <v>3184.5</v>
      </c>
      <c r="H123" s="48" t="e">
        <f t="shared" si="19"/>
        <v>#DIV/0!</v>
      </c>
      <c r="I123" s="25">
        <v>0</v>
      </c>
      <c r="J123" s="21"/>
    </row>
    <row r="124" spans="2:10" x14ac:dyDescent="0.35">
      <c r="B124" s="40">
        <v>13</v>
      </c>
      <c r="C124" s="38" t="s">
        <v>64</v>
      </c>
      <c r="D124" s="25">
        <v>0</v>
      </c>
      <c r="E124" s="25">
        <v>0</v>
      </c>
      <c r="F124" s="47">
        <f t="shared" si="21"/>
        <v>0</v>
      </c>
      <c r="G124" s="25">
        <f t="shared" si="22"/>
        <v>3184.5</v>
      </c>
      <c r="H124" s="48" t="e">
        <f t="shared" si="19"/>
        <v>#DIV/0!</v>
      </c>
      <c r="I124" s="25">
        <v>0</v>
      </c>
      <c r="J124" s="21"/>
    </row>
    <row r="125" spans="2:10" x14ac:dyDescent="0.35">
      <c r="B125" s="40">
        <v>14</v>
      </c>
      <c r="C125" s="58" t="s">
        <v>65</v>
      </c>
      <c r="D125" s="25">
        <v>0</v>
      </c>
      <c r="E125" s="25">
        <v>0</v>
      </c>
      <c r="F125" s="47">
        <f t="shared" si="21"/>
        <v>0</v>
      </c>
      <c r="G125" s="25">
        <f t="shared" si="22"/>
        <v>3184.5</v>
      </c>
      <c r="H125" s="48" t="e">
        <f t="shared" si="19"/>
        <v>#DIV/0!</v>
      </c>
      <c r="I125" s="25">
        <v>0</v>
      </c>
      <c r="J125" s="21"/>
    </row>
    <row r="126" spans="2:10" x14ac:dyDescent="0.35">
      <c r="B126" s="40">
        <v>15</v>
      </c>
      <c r="C126" s="38" t="s">
        <v>66</v>
      </c>
      <c r="D126" s="25">
        <v>0</v>
      </c>
      <c r="E126" s="25">
        <v>0</v>
      </c>
      <c r="F126" s="47">
        <f t="shared" si="21"/>
        <v>0</v>
      </c>
      <c r="G126" s="25">
        <f t="shared" si="22"/>
        <v>3184.5</v>
      </c>
      <c r="H126" s="48" t="e">
        <f t="shared" si="19"/>
        <v>#DIV/0!</v>
      </c>
      <c r="I126" s="25">
        <v>0</v>
      </c>
      <c r="J126" s="21"/>
    </row>
    <row r="127" spans="2:10" x14ac:dyDescent="0.35">
      <c r="B127" s="40">
        <v>16</v>
      </c>
      <c r="C127" s="38" t="s">
        <v>67</v>
      </c>
      <c r="D127" s="25">
        <v>0</v>
      </c>
      <c r="E127" s="25">
        <v>0</v>
      </c>
      <c r="F127" s="47">
        <f t="shared" si="21"/>
        <v>0</v>
      </c>
      <c r="G127" s="25">
        <f t="shared" si="22"/>
        <v>3184.5</v>
      </c>
      <c r="H127" s="48" t="e">
        <f t="shared" si="19"/>
        <v>#DIV/0!</v>
      </c>
      <c r="I127" s="25">
        <v>0</v>
      </c>
      <c r="J127" s="21"/>
    </row>
    <row r="128" spans="2:10" x14ac:dyDescent="0.35">
      <c r="B128" s="40">
        <v>17</v>
      </c>
      <c r="C128" s="38" t="s">
        <v>68</v>
      </c>
      <c r="D128" s="25">
        <v>0</v>
      </c>
      <c r="E128" s="25">
        <v>0</v>
      </c>
      <c r="F128" s="47">
        <f t="shared" si="21"/>
        <v>0</v>
      </c>
      <c r="G128" s="25">
        <f t="shared" si="22"/>
        <v>3184.5</v>
      </c>
      <c r="H128" s="48" t="e">
        <f t="shared" si="19"/>
        <v>#DIV/0!</v>
      </c>
      <c r="I128" s="25">
        <v>0</v>
      </c>
      <c r="J128" s="21"/>
    </row>
    <row r="129" spans="2:11" x14ac:dyDescent="0.35">
      <c r="B129" s="40">
        <v>18</v>
      </c>
      <c r="C129" s="38" t="s">
        <v>69</v>
      </c>
      <c r="D129" s="25">
        <v>0</v>
      </c>
      <c r="E129" s="25">
        <v>0</v>
      </c>
      <c r="F129" s="47">
        <f t="shared" si="21"/>
        <v>0</v>
      </c>
      <c r="G129" s="25">
        <f t="shared" si="22"/>
        <v>3184.5</v>
      </c>
      <c r="H129" s="48" t="e">
        <f t="shared" si="19"/>
        <v>#DIV/0!</v>
      </c>
      <c r="I129" s="25">
        <v>0</v>
      </c>
      <c r="J129" s="21"/>
    </row>
    <row r="130" spans="2:11" x14ac:dyDescent="0.35">
      <c r="B130" s="40">
        <v>19</v>
      </c>
      <c r="C130" s="38" t="s">
        <v>70</v>
      </c>
      <c r="D130" s="25">
        <v>0</v>
      </c>
      <c r="E130" s="25">
        <v>0</v>
      </c>
      <c r="F130" s="47">
        <f t="shared" si="21"/>
        <v>0</v>
      </c>
      <c r="G130" s="25">
        <f t="shared" si="22"/>
        <v>3184.5</v>
      </c>
      <c r="H130" s="48" t="e">
        <f t="shared" si="19"/>
        <v>#DIV/0!</v>
      </c>
      <c r="I130" s="25">
        <v>0</v>
      </c>
      <c r="J130" s="21"/>
    </row>
    <row r="131" spans="2:11" x14ac:dyDescent="0.35">
      <c r="B131" s="40">
        <v>20</v>
      </c>
      <c r="C131" s="38" t="s">
        <v>71</v>
      </c>
      <c r="D131" s="25">
        <v>0</v>
      </c>
      <c r="E131" s="25">
        <v>0</v>
      </c>
      <c r="F131" s="47">
        <f t="shared" si="21"/>
        <v>0</v>
      </c>
      <c r="G131" s="25">
        <f t="shared" si="22"/>
        <v>3184.5</v>
      </c>
      <c r="H131" s="48" t="e">
        <f t="shared" si="19"/>
        <v>#DIV/0!</v>
      </c>
      <c r="I131" s="25">
        <v>0</v>
      </c>
      <c r="J131" s="21"/>
    </row>
    <row r="132" spans="2:11" x14ac:dyDescent="0.35">
      <c r="B132" s="40">
        <v>21</v>
      </c>
      <c r="C132" s="38" t="s">
        <v>72</v>
      </c>
      <c r="D132" s="25">
        <v>0</v>
      </c>
      <c r="E132" s="25">
        <v>0</v>
      </c>
      <c r="F132" s="47">
        <f t="shared" si="21"/>
        <v>0</v>
      </c>
      <c r="G132" s="25">
        <f t="shared" si="22"/>
        <v>3184.5</v>
      </c>
      <c r="H132" s="48" t="e">
        <f t="shared" si="19"/>
        <v>#DIV/0!</v>
      </c>
      <c r="I132" s="25">
        <v>0</v>
      </c>
      <c r="J132" s="21"/>
    </row>
    <row r="133" spans="2:11" x14ac:dyDescent="0.35">
      <c r="B133" s="40">
        <v>22</v>
      </c>
      <c r="C133" s="38" t="s">
        <v>73</v>
      </c>
      <c r="D133" s="25">
        <v>0</v>
      </c>
      <c r="E133" s="25">
        <v>0</v>
      </c>
      <c r="F133" s="47">
        <f t="shared" si="21"/>
        <v>0</v>
      </c>
      <c r="G133" s="25">
        <f t="shared" si="22"/>
        <v>3184.5</v>
      </c>
      <c r="H133" s="11" t="e">
        <f>+H132</f>
        <v>#DIV/0!</v>
      </c>
      <c r="I133" s="25">
        <f>+I132+0</f>
        <v>0</v>
      </c>
      <c r="J133" s="21"/>
    </row>
    <row r="134" spans="2:11" x14ac:dyDescent="0.35">
      <c r="B134" s="40">
        <v>23</v>
      </c>
      <c r="C134" s="38" t="s">
        <v>80</v>
      </c>
      <c r="D134" s="25">
        <v>0</v>
      </c>
      <c r="E134" s="25">
        <v>0</v>
      </c>
      <c r="F134" s="47">
        <f t="shared" si="21"/>
        <v>0</v>
      </c>
      <c r="G134" s="25">
        <f t="shared" si="22"/>
        <v>3184.5</v>
      </c>
      <c r="H134" s="11" t="e">
        <f>+H133</f>
        <v>#DIV/0!</v>
      </c>
      <c r="I134" s="25">
        <f>+I133+0</f>
        <v>0</v>
      </c>
      <c r="J134" s="21"/>
    </row>
    <row r="135" spans="2:11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21"/>
        <v>0</v>
      </c>
      <c r="G135" s="25">
        <f t="shared" si="22"/>
        <v>3184.5</v>
      </c>
      <c r="H135" s="11" t="e">
        <f>+H134</f>
        <v>#DIV/0!</v>
      </c>
      <c r="I135" s="25">
        <v>0</v>
      </c>
      <c r="J135" s="21"/>
    </row>
    <row r="136" spans="2:11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21"/>
        <v>0</v>
      </c>
      <c r="G136" s="25">
        <f t="shared" si="22"/>
        <v>3184.5</v>
      </c>
      <c r="H136" s="48" t="e">
        <f t="shared" ref="H136:H139" si="23">((G136-I136)/I136)*100</f>
        <v>#DIV/0!</v>
      </c>
      <c r="I136" s="25">
        <f>+I135+0</f>
        <v>0</v>
      </c>
      <c r="J136" s="21"/>
      <c r="K136" s="1"/>
    </row>
    <row r="137" spans="2:11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21"/>
        <v>0</v>
      </c>
      <c r="G137" s="106">
        <f t="shared" si="22"/>
        <v>3184.5</v>
      </c>
      <c r="H137" s="48" t="e">
        <f t="shared" si="23"/>
        <v>#DIV/0!</v>
      </c>
      <c r="I137" s="25">
        <f>+I136+0</f>
        <v>0</v>
      </c>
      <c r="J137" s="21"/>
    </row>
    <row r="138" spans="2:11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21"/>
        <v>0</v>
      </c>
      <c r="G138" s="120">
        <f t="shared" si="22"/>
        <v>3184.5</v>
      </c>
      <c r="H138" s="48" t="e">
        <f t="shared" si="23"/>
        <v>#DIV/0!</v>
      </c>
      <c r="I138" s="25">
        <f>+I137+0</f>
        <v>0</v>
      </c>
      <c r="J138" s="21"/>
      <c r="K138" s="1"/>
    </row>
    <row r="139" spans="2:11" x14ac:dyDescent="0.35">
      <c r="B139" s="110">
        <v>28</v>
      </c>
      <c r="C139" s="77" t="s">
        <v>87</v>
      </c>
      <c r="D139" s="108">
        <v>0</v>
      </c>
      <c r="E139" s="108">
        <v>0</v>
      </c>
      <c r="F139" s="109">
        <f t="shared" si="21"/>
        <v>0</v>
      </c>
      <c r="G139" s="109">
        <f t="shared" si="22"/>
        <v>3184.5</v>
      </c>
      <c r="H139" s="48" t="e">
        <f t="shared" si="23"/>
        <v>#DIV/0!</v>
      </c>
      <c r="I139" s="25">
        <f>+I138+0</f>
        <v>0</v>
      </c>
      <c r="J139" s="21"/>
      <c r="K139" s="1"/>
    </row>
    <row r="140" spans="2:11" hidden="1" x14ac:dyDescent="0.35">
      <c r="B140" s="40">
        <v>29</v>
      </c>
      <c r="C140" s="16" t="s">
        <v>29</v>
      </c>
      <c r="D140" s="23"/>
      <c r="E140" s="23"/>
      <c r="F140" s="24">
        <f t="shared" ref="F140:F153" si="24">+E140+D140</f>
        <v>0</v>
      </c>
      <c r="G140" s="23">
        <f t="shared" ref="G140:G144" si="25">+G139+F140</f>
        <v>3184.5</v>
      </c>
      <c r="H140" s="11">
        <v>0</v>
      </c>
      <c r="I140" s="25">
        <v>0</v>
      </c>
      <c r="J140" s="21"/>
      <c r="K140" s="1"/>
    </row>
    <row r="141" spans="2:11" hidden="1" x14ac:dyDescent="0.35">
      <c r="B141" s="40">
        <v>30</v>
      </c>
      <c r="C141" s="16" t="s">
        <v>30</v>
      </c>
      <c r="D141" s="23"/>
      <c r="E141" s="23"/>
      <c r="F141" s="24">
        <f t="shared" si="24"/>
        <v>0</v>
      </c>
      <c r="G141" s="23">
        <f t="shared" si="25"/>
        <v>3184.5</v>
      </c>
      <c r="H141" s="11">
        <v>0</v>
      </c>
      <c r="I141" s="25">
        <v>0</v>
      </c>
      <c r="J141" s="21"/>
      <c r="K141" s="1"/>
    </row>
    <row r="142" spans="2:11" hidden="1" x14ac:dyDescent="0.35">
      <c r="B142" s="40">
        <v>31</v>
      </c>
      <c r="C142" s="16" t="s">
        <v>31</v>
      </c>
      <c r="D142" s="23"/>
      <c r="E142" s="23"/>
      <c r="F142" s="24">
        <f t="shared" si="24"/>
        <v>0</v>
      </c>
      <c r="G142" s="23">
        <f t="shared" si="25"/>
        <v>3184.5</v>
      </c>
      <c r="H142" s="11">
        <v>0</v>
      </c>
      <c r="I142" s="25">
        <v>0</v>
      </c>
      <c r="J142" s="21"/>
      <c r="K142" s="1"/>
    </row>
    <row r="143" spans="2:11" hidden="1" x14ac:dyDescent="0.35">
      <c r="B143" s="40">
        <v>32</v>
      </c>
      <c r="C143" s="17" t="s">
        <v>32</v>
      </c>
      <c r="D143" s="23"/>
      <c r="E143" s="23"/>
      <c r="F143" s="24">
        <f t="shared" si="24"/>
        <v>0</v>
      </c>
      <c r="G143" s="23">
        <f t="shared" si="25"/>
        <v>3184.5</v>
      </c>
      <c r="H143" s="11">
        <v>0</v>
      </c>
      <c r="I143" s="25">
        <v>0</v>
      </c>
      <c r="J143" s="21"/>
      <c r="K143" s="1"/>
    </row>
    <row r="144" spans="2:11" hidden="1" x14ac:dyDescent="0.35">
      <c r="B144" s="40">
        <v>33</v>
      </c>
      <c r="C144" s="27" t="s">
        <v>33</v>
      </c>
      <c r="D144" s="28"/>
      <c r="E144" s="28"/>
      <c r="F144" s="29">
        <f t="shared" si="24"/>
        <v>0</v>
      </c>
      <c r="G144" s="28">
        <f t="shared" si="25"/>
        <v>3184.5</v>
      </c>
      <c r="H144" s="30">
        <v>0</v>
      </c>
      <c r="I144" s="31">
        <v>0</v>
      </c>
      <c r="J144" s="21"/>
      <c r="K144" s="1"/>
    </row>
    <row r="145" spans="2:11" hidden="1" x14ac:dyDescent="0.35">
      <c r="B145" s="40">
        <v>34</v>
      </c>
      <c r="C145" s="16" t="s">
        <v>29</v>
      </c>
      <c r="D145" s="23"/>
      <c r="E145" s="23"/>
      <c r="F145" s="24">
        <f t="shared" si="24"/>
        <v>0</v>
      </c>
      <c r="G145" s="23">
        <f>+G137+F145</f>
        <v>3184.5</v>
      </c>
      <c r="H145" s="48" t="e">
        <f t="shared" ref="H145" si="26">((G145-I145)/I145)*100</f>
        <v>#DIV/0!</v>
      </c>
      <c r="I145" s="25">
        <v>0</v>
      </c>
      <c r="J145" s="21"/>
    </row>
    <row r="146" spans="2:11" hidden="1" x14ac:dyDescent="0.35">
      <c r="B146" s="40">
        <v>35</v>
      </c>
      <c r="C146" s="16" t="s">
        <v>27</v>
      </c>
      <c r="D146" s="23"/>
      <c r="E146" s="23"/>
      <c r="F146" s="24">
        <f t="shared" si="24"/>
        <v>0</v>
      </c>
      <c r="G146" s="23">
        <f t="shared" ref="G146:G151" si="27">+G145+F146</f>
        <v>3184.5</v>
      </c>
      <c r="H146" s="11">
        <v>0</v>
      </c>
      <c r="I146" s="25">
        <v>0</v>
      </c>
      <c r="J146" s="21"/>
      <c r="K146" s="1"/>
    </row>
    <row r="147" spans="2:11" hidden="1" x14ac:dyDescent="0.35">
      <c r="B147" s="40">
        <v>36</v>
      </c>
      <c r="C147" s="16" t="s">
        <v>28</v>
      </c>
      <c r="D147" s="23"/>
      <c r="E147" s="23"/>
      <c r="F147" s="24">
        <f t="shared" si="24"/>
        <v>0</v>
      </c>
      <c r="G147" s="23">
        <f t="shared" si="27"/>
        <v>3184.5</v>
      </c>
      <c r="H147" s="11">
        <v>0</v>
      </c>
      <c r="I147" s="25">
        <v>0</v>
      </c>
      <c r="J147" s="21"/>
      <c r="K147" s="1"/>
    </row>
    <row r="148" spans="2:11" hidden="1" x14ac:dyDescent="0.35">
      <c r="B148" s="40">
        <v>37</v>
      </c>
      <c r="C148" s="16" t="s">
        <v>29</v>
      </c>
      <c r="D148" s="23"/>
      <c r="E148" s="23"/>
      <c r="F148" s="24">
        <f t="shared" si="24"/>
        <v>0</v>
      </c>
      <c r="G148" s="23">
        <f t="shared" si="27"/>
        <v>3184.5</v>
      </c>
      <c r="H148" s="11">
        <v>0</v>
      </c>
      <c r="I148" s="25">
        <v>0</v>
      </c>
      <c r="J148" s="21"/>
      <c r="K148" s="1"/>
    </row>
    <row r="149" spans="2:11" hidden="1" x14ac:dyDescent="0.35">
      <c r="B149" s="40">
        <v>38</v>
      </c>
      <c r="C149" s="16" t="s">
        <v>30</v>
      </c>
      <c r="D149" s="23"/>
      <c r="E149" s="23"/>
      <c r="F149" s="24">
        <f t="shared" si="24"/>
        <v>0</v>
      </c>
      <c r="G149" s="23">
        <f t="shared" si="27"/>
        <v>3184.5</v>
      </c>
      <c r="H149" s="11">
        <v>0</v>
      </c>
      <c r="I149" s="25">
        <v>0</v>
      </c>
      <c r="J149" s="21"/>
      <c r="K149" s="1"/>
    </row>
    <row r="150" spans="2:11" hidden="1" x14ac:dyDescent="0.35">
      <c r="B150" s="40">
        <v>39</v>
      </c>
      <c r="C150" s="16" t="s">
        <v>31</v>
      </c>
      <c r="D150" s="23"/>
      <c r="E150" s="23"/>
      <c r="F150" s="24">
        <f t="shared" si="24"/>
        <v>0</v>
      </c>
      <c r="G150" s="23">
        <f t="shared" si="27"/>
        <v>3184.5</v>
      </c>
      <c r="H150" s="11">
        <v>0</v>
      </c>
      <c r="I150" s="25">
        <v>0</v>
      </c>
      <c r="J150" s="21"/>
      <c r="K150" s="1"/>
    </row>
    <row r="151" spans="2:11" hidden="1" x14ac:dyDescent="0.35">
      <c r="B151" s="40">
        <v>40</v>
      </c>
      <c r="C151" s="17" t="s">
        <v>32</v>
      </c>
      <c r="D151" s="23"/>
      <c r="E151" s="23"/>
      <c r="F151" s="24">
        <f t="shared" si="24"/>
        <v>0</v>
      </c>
      <c r="G151" s="23">
        <f t="shared" si="27"/>
        <v>3184.5</v>
      </c>
      <c r="H151" s="11">
        <v>0</v>
      </c>
      <c r="I151" s="25">
        <v>0</v>
      </c>
      <c r="J151" s="21"/>
      <c r="K151" s="1"/>
    </row>
    <row r="152" spans="2:11" hidden="1" x14ac:dyDescent="0.35">
      <c r="B152" s="40">
        <v>41</v>
      </c>
      <c r="C152" s="17" t="s">
        <v>32</v>
      </c>
      <c r="D152" s="23"/>
      <c r="E152" s="23"/>
      <c r="F152" s="24">
        <f t="shared" si="24"/>
        <v>0</v>
      </c>
      <c r="G152" s="23">
        <f>+G135+F152</f>
        <v>3184.5</v>
      </c>
      <c r="H152" s="11">
        <v>0</v>
      </c>
      <c r="I152" s="25">
        <v>0</v>
      </c>
      <c r="J152" s="21"/>
    </row>
    <row r="153" spans="2:11" hidden="1" x14ac:dyDescent="0.35">
      <c r="B153" s="40">
        <v>42</v>
      </c>
      <c r="C153" s="27" t="s">
        <v>33</v>
      </c>
      <c r="D153" s="28"/>
      <c r="E153" s="28"/>
      <c r="F153" s="29">
        <f t="shared" si="24"/>
        <v>0</v>
      </c>
      <c r="G153" s="28">
        <f t="shared" ref="G153" si="28">+G152+F153</f>
        <v>3184.5</v>
      </c>
      <c r="H153" s="30">
        <v>0</v>
      </c>
      <c r="I153" s="31">
        <v>0</v>
      </c>
      <c r="J153" s="21"/>
    </row>
    <row r="154" spans="2:11" x14ac:dyDescent="0.35">
      <c r="B154" s="5"/>
      <c r="C154" s="5"/>
      <c r="D154" s="6"/>
      <c r="E154" s="6"/>
      <c r="F154" s="6"/>
      <c r="G154" s="6"/>
      <c r="H154" s="7"/>
      <c r="I154" s="6"/>
      <c r="J154" s="5"/>
    </row>
    <row r="155" spans="2:11" x14ac:dyDescent="0.35">
      <c r="B155" s="8" t="s">
        <v>34</v>
      </c>
      <c r="C155" s="5"/>
      <c r="D155" s="5"/>
      <c r="E155" s="5"/>
      <c r="F155" s="5"/>
      <c r="G155" s="5"/>
      <c r="H155" s="5"/>
      <c r="I155" s="5"/>
      <c r="J155" s="5"/>
    </row>
    <row r="156" spans="2:11" x14ac:dyDescent="0.35">
      <c r="B156" s="9" t="s">
        <v>35</v>
      </c>
      <c r="C156" s="5"/>
      <c r="D156" s="5"/>
      <c r="E156" s="5"/>
      <c r="F156" s="5"/>
      <c r="G156" s="5"/>
      <c r="H156" s="5"/>
      <c r="I156" s="5"/>
      <c r="J156" s="5"/>
    </row>
    <row r="157" spans="2:11" x14ac:dyDescent="0.35">
      <c r="B157" s="9" t="s">
        <v>36</v>
      </c>
      <c r="C157" s="5"/>
      <c r="D157" s="5"/>
      <c r="E157" s="5"/>
      <c r="F157" s="5"/>
      <c r="G157" s="5"/>
      <c r="H157" s="5"/>
      <c r="I157" s="5"/>
      <c r="J157" s="5"/>
    </row>
    <row r="158" spans="2:11" x14ac:dyDescent="0.35">
      <c r="B158" s="9" t="s">
        <v>37</v>
      </c>
      <c r="C158" s="5"/>
      <c r="D158" s="5"/>
      <c r="E158" s="5"/>
      <c r="F158" s="5"/>
      <c r="G158" s="5"/>
      <c r="H158" s="5"/>
      <c r="I158" s="5"/>
      <c r="J158" s="5"/>
    </row>
    <row r="161" spans="2:10" ht="18.5" x14ac:dyDescent="0.45">
      <c r="B161" s="10"/>
      <c r="C161" s="10"/>
      <c r="D161" s="173" t="s">
        <v>41</v>
      </c>
      <c r="E161" s="173"/>
      <c r="F161" s="173"/>
      <c r="G161" s="173"/>
      <c r="H161" s="173"/>
      <c r="I161" s="173"/>
      <c r="J161" s="10"/>
    </row>
    <row r="162" spans="2:10" s="35" customFormat="1" ht="16" x14ac:dyDescent="0.4">
      <c r="B162" s="26"/>
      <c r="C162" s="26"/>
      <c r="D162" s="177" t="s">
        <v>45</v>
      </c>
      <c r="E162" s="177"/>
      <c r="F162" s="177"/>
      <c r="G162" s="177"/>
      <c r="H162" s="177"/>
      <c r="I162" s="177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74" t="s">
        <v>6</v>
      </c>
      <c r="E164" s="175"/>
      <c r="F164" s="175"/>
      <c r="G164" s="176"/>
      <c r="H164" s="166" t="s">
        <v>7</v>
      </c>
      <c r="I164" s="167"/>
      <c r="J164" s="4"/>
    </row>
    <row r="165" spans="2:10" x14ac:dyDescent="0.35">
      <c r="B165" s="12"/>
      <c r="C165" s="13"/>
      <c r="D165" s="170" t="s">
        <v>9</v>
      </c>
      <c r="E165" s="171"/>
      <c r="F165" s="171"/>
      <c r="G165" s="172"/>
      <c r="H165" s="168"/>
      <c r="I165" s="169"/>
      <c r="J165" s="4"/>
    </row>
    <row r="166" spans="2:10" ht="14.4" customHeight="1" x14ac:dyDescent="0.35">
      <c r="B166" s="133" t="s">
        <v>10</v>
      </c>
      <c r="C166" s="135" t="s">
        <v>11</v>
      </c>
      <c r="D166" s="18" t="s">
        <v>12</v>
      </c>
      <c r="E166" s="18" t="s">
        <v>13</v>
      </c>
      <c r="F166" s="18" t="s">
        <v>14</v>
      </c>
      <c r="G166" s="18" t="s">
        <v>15</v>
      </c>
      <c r="H166" s="161" t="s">
        <v>16</v>
      </c>
      <c r="I166" s="135" t="s">
        <v>17</v>
      </c>
      <c r="J166" s="19"/>
    </row>
    <row r="167" spans="2:10" ht="37.65" customHeight="1" x14ac:dyDescent="0.35">
      <c r="B167" s="134"/>
      <c r="C167" s="136"/>
      <c r="D167" s="163" t="s">
        <v>20</v>
      </c>
      <c r="E167" s="164"/>
      <c r="F167" s="164"/>
      <c r="G167" s="165"/>
      <c r="H167" s="162"/>
      <c r="I167" s="136"/>
      <c r="J167" s="19"/>
    </row>
    <row r="168" spans="2:10" x14ac:dyDescent="0.35">
      <c r="B168" s="40">
        <v>4</v>
      </c>
      <c r="C168" s="38" t="s">
        <v>21</v>
      </c>
      <c r="D168" s="20">
        <v>10543</v>
      </c>
      <c r="E168" s="20">
        <v>0</v>
      </c>
      <c r="F168" s="43">
        <f>+D168+E168</f>
        <v>10543</v>
      </c>
      <c r="G168" s="20">
        <f>+F168</f>
        <v>10543</v>
      </c>
      <c r="H168" s="44" t="e">
        <f t="shared" ref="H168:H192" si="29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11068.5</v>
      </c>
      <c r="E169" s="25">
        <v>0</v>
      </c>
      <c r="F169" s="47">
        <f>+E169+D169</f>
        <v>11068.5</v>
      </c>
      <c r="G169" s="25">
        <f>+G168+F169</f>
        <v>21611.5</v>
      </c>
      <c r="H169" s="48">
        <f t="shared" si="29"/>
        <v>266.85622135460869</v>
      </c>
      <c r="I169" s="25">
        <v>5891</v>
      </c>
      <c r="J169" s="21"/>
    </row>
    <row r="170" spans="2:10" x14ac:dyDescent="0.35">
      <c r="B170" s="40">
        <v>6</v>
      </c>
      <c r="C170" s="38" t="s">
        <v>23</v>
      </c>
      <c r="D170" s="25">
        <v>0</v>
      </c>
      <c r="E170" s="25">
        <v>0</v>
      </c>
      <c r="F170" s="47">
        <f>+E170+D170</f>
        <v>0</v>
      </c>
      <c r="G170" s="25">
        <f t="shared" ref="G170" si="30">+G169+F170</f>
        <v>21611.5</v>
      </c>
      <c r="H170" s="48">
        <f t="shared" si="29"/>
        <v>266.85622135460869</v>
      </c>
      <c r="I170" s="25">
        <f>+I169+0</f>
        <v>5891</v>
      </c>
      <c r="J170" s="21"/>
    </row>
    <row r="171" spans="2:10" x14ac:dyDescent="0.35">
      <c r="B171" s="40">
        <v>7</v>
      </c>
      <c r="C171" s="38" t="s">
        <v>24</v>
      </c>
      <c r="D171" s="25">
        <v>3123.5</v>
      </c>
      <c r="E171" s="25">
        <v>0</v>
      </c>
      <c r="F171" s="47">
        <f t="shared" ref="F171:F192" si="31">+E171+D171</f>
        <v>3123.5</v>
      </c>
      <c r="G171" s="25">
        <f>+G170+F171</f>
        <v>24735</v>
      </c>
      <c r="H171" s="48">
        <f t="shared" si="29"/>
        <v>319.8777796638941</v>
      </c>
      <c r="I171" s="25">
        <f>+I170+0</f>
        <v>5891</v>
      </c>
      <c r="J171" s="21"/>
    </row>
    <row r="172" spans="2:10" x14ac:dyDescent="0.35">
      <c r="B172" s="40">
        <v>8</v>
      </c>
      <c r="C172" s="38" t="s">
        <v>25</v>
      </c>
      <c r="D172" s="25">
        <v>0</v>
      </c>
      <c r="E172" s="25">
        <v>0</v>
      </c>
      <c r="F172" s="47">
        <f t="shared" si="31"/>
        <v>0</v>
      </c>
      <c r="G172" s="25">
        <f t="shared" ref="G172:G192" si="32">+G171+F172</f>
        <v>24735</v>
      </c>
      <c r="H172" s="48">
        <f t="shared" si="29"/>
        <v>319.8777796638941</v>
      </c>
      <c r="I172" s="25">
        <v>5891</v>
      </c>
      <c r="J172" s="21"/>
    </row>
    <row r="173" spans="2:10" x14ac:dyDescent="0.35">
      <c r="B173" s="40">
        <v>9</v>
      </c>
      <c r="C173" s="38" t="s">
        <v>26</v>
      </c>
      <c r="D173" s="25">
        <v>0</v>
      </c>
      <c r="E173" s="25">
        <v>0</v>
      </c>
      <c r="F173" s="47">
        <f t="shared" si="31"/>
        <v>0</v>
      </c>
      <c r="G173" s="25">
        <f t="shared" si="32"/>
        <v>24735</v>
      </c>
      <c r="H173" s="48">
        <f t="shared" si="29"/>
        <v>319.8777796638941</v>
      </c>
      <c r="I173" s="25">
        <f>+I172</f>
        <v>5891</v>
      </c>
      <c r="J173" s="21"/>
    </row>
    <row r="174" spans="2:10" x14ac:dyDescent="0.35">
      <c r="B174" s="40">
        <v>10</v>
      </c>
      <c r="C174" s="38" t="s">
        <v>62</v>
      </c>
      <c r="D174" s="25">
        <v>0</v>
      </c>
      <c r="E174" s="25">
        <v>0</v>
      </c>
      <c r="F174" s="47">
        <f t="shared" si="31"/>
        <v>0</v>
      </c>
      <c r="G174" s="25">
        <f t="shared" si="32"/>
        <v>24735</v>
      </c>
      <c r="H174" s="48">
        <f t="shared" si="29"/>
        <v>319.8777796638941</v>
      </c>
      <c r="I174" s="25">
        <f>+I173</f>
        <v>5891</v>
      </c>
      <c r="J174" s="21"/>
    </row>
    <row r="175" spans="2:10" x14ac:dyDescent="0.35">
      <c r="B175" s="40">
        <v>11</v>
      </c>
      <c r="C175" s="38" t="s">
        <v>63</v>
      </c>
      <c r="D175" s="25">
        <v>0</v>
      </c>
      <c r="E175" s="25">
        <v>0</v>
      </c>
      <c r="F175" s="47">
        <f t="shared" si="31"/>
        <v>0</v>
      </c>
      <c r="G175" s="25">
        <f t="shared" si="32"/>
        <v>24735</v>
      </c>
      <c r="H175" s="48">
        <f t="shared" si="29"/>
        <v>319.8777796638941</v>
      </c>
      <c r="I175" s="25">
        <f>+I174</f>
        <v>5891</v>
      </c>
      <c r="J175" s="21"/>
    </row>
    <row r="176" spans="2:10" x14ac:dyDescent="0.35">
      <c r="B176" s="40">
        <v>12</v>
      </c>
      <c r="C176" s="38" t="s">
        <v>78</v>
      </c>
      <c r="D176" s="25">
        <v>0</v>
      </c>
      <c r="E176" s="25">
        <v>0</v>
      </c>
      <c r="F176" s="47">
        <f t="shared" si="31"/>
        <v>0</v>
      </c>
      <c r="G176" s="25">
        <f t="shared" si="32"/>
        <v>24735</v>
      </c>
      <c r="H176" s="48">
        <f t="shared" si="29"/>
        <v>319.8777796638941</v>
      </c>
      <c r="I176" s="25">
        <f>+I175+0</f>
        <v>5891</v>
      </c>
      <c r="J176" s="21"/>
    </row>
    <row r="177" spans="2:11" x14ac:dyDescent="0.35">
      <c r="B177" s="40">
        <v>13</v>
      </c>
      <c r="C177" s="38" t="s">
        <v>64</v>
      </c>
      <c r="D177" s="25">
        <v>0</v>
      </c>
      <c r="E177" s="25">
        <v>0</v>
      </c>
      <c r="F177" s="47">
        <f t="shared" si="31"/>
        <v>0</v>
      </c>
      <c r="G177" s="25">
        <f t="shared" si="32"/>
        <v>24735</v>
      </c>
      <c r="H177" s="48">
        <f t="shared" si="29"/>
        <v>319.8777796638941</v>
      </c>
      <c r="I177" s="25">
        <v>5891</v>
      </c>
      <c r="J177" s="21"/>
    </row>
    <row r="178" spans="2:11" x14ac:dyDescent="0.35">
      <c r="B178" s="40">
        <v>14</v>
      </c>
      <c r="C178" s="58" t="s">
        <v>65</v>
      </c>
      <c r="D178" s="25">
        <v>0</v>
      </c>
      <c r="E178" s="25">
        <v>0</v>
      </c>
      <c r="F178" s="47">
        <f t="shared" si="31"/>
        <v>0</v>
      </c>
      <c r="G178" s="25">
        <f t="shared" si="32"/>
        <v>24735</v>
      </c>
      <c r="H178" s="48">
        <f t="shared" si="29"/>
        <v>319.8777796638941</v>
      </c>
      <c r="I178" s="25">
        <f>+I177+0</f>
        <v>5891</v>
      </c>
      <c r="J178" s="21"/>
    </row>
    <row r="179" spans="2:11" x14ac:dyDescent="0.35">
      <c r="B179" s="40">
        <v>15</v>
      </c>
      <c r="C179" s="38" t="s">
        <v>66</v>
      </c>
      <c r="D179" s="25">
        <v>0</v>
      </c>
      <c r="E179" s="25">
        <v>0</v>
      </c>
      <c r="F179" s="47">
        <f t="shared" si="31"/>
        <v>0</v>
      </c>
      <c r="G179" s="25">
        <f t="shared" si="32"/>
        <v>24735</v>
      </c>
      <c r="H179" s="48">
        <f t="shared" si="29"/>
        <v>319.8777796638941</v>
      </c>
      <c r="I179" s="25">
        <f>+I178+0</f>
        <v>5891</v>
      </c>
      <c r="J179" s="21"/>
    </row>
    <row r="180" spans="2:11" x14ac:dyDescent="0.35">
      <c r="B180" s="40">
        <v>16</v>
      </c>
      <c r="C180" s="38" t="s">
        <v>67</v>
      </c>
      <c r="D180" s="25">
        <v>0</v>
      </c>
      <c r="E180" s="25">
        <v>0</v>
      </c>
      <c r="F180" s="47">
        <f t="shared" si="31"/>
        <v>0</v>
      </c>
      <c r="G180" s="25">
        <f t="shared" si="32"/>
        <v>24735</v>
      </c>
      <c r="H180" s="48">
        <f t="shared" si="29"/>
        <v>319.8777796638941</v>
      </c>
      <c r="I180" s="25">
        <v>5891</v>
      </c>
      <c r="J180" s="21"/>
    </row>
    <row r="181" spans="2:11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31"/>
        <v>0</v>
      </c>
      <c r="G181" s="25">
        <f t="shared" si="32"/>
        <v>24735</v>
      </c>
      <c r="H181" s="48">
        <f t="shared" si="29"/>
        <v>319.8777796638941</v>
      </c>
      <c r="I181" s="25">
        <v>5891</v>
      </c>
      <c r="J181" s="21"/>
    </row>
    <row r="182" spans="2:11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31"/>
        <v>0</v>
      </c>
      <c r="G182" s="25">
        <f t="shared" si="32"/>
        <v>24735</v>
      </c>
      <c r="H182" s="48">
        <f t="shared" si="29"/>
        <v>319.8777796638941</v>
      </c>
      <c r="I182" s="25">
        <f t="shared" ref="I182:I187" si="33">+I181+0</f>
        <v>5891</v>
      </c>
      <c r="J182" s="21"/>
    </row>
    <row r="183" spans="2:11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31"/>
        <v>0</v>
      </c>
      <c r="G183" s="25">
        <f t="shared" si="32"/>
        <v>24735</v>
      </c>
      <c r="H183" s="48">
        <f t="shared" si="29"/>
        <v>319.8777796638941</v>
      </c>
      <c r="I183" s="25">
        <f t="shared" si="33"/>
        <v>5891</v>
      </c>
      <c r="J183" s="21"/>
    </row>
    <row r="184" spans="2:11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31"/>
        <v>0</v>
      </c>
      <c r="G184" s="25">
        <f t="shared" si="32"/>
        <v>24735</v>
      </c>
      <c r="H184" s="48">
        <f t="shared" si="29"/>
        <v>319.8777796638941</v>
      </c>
      <c r="I184" s="25">
        <f t="shared" si="33"/>
        <v>5891</v>
      </c>
      <c r="J184" s="21"/>
    </row>
    <row r="185" spans="2:11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31"/>
        <v>0</v>
      </c>
      <c r="G185" s="25">
        <f t="shared" si="32"/>
        <v>24735</v>
      </c>
      <c r="H185" s="48">
        <f t="shared" si="29"/>
        <v>319.8777796638941</v>
      </c>
      <c r="I185" s="25">
        <f t="shared" si="33"/>
        <v>5891</v>
      </c>
      <c r="J185" s="21"/>
    </row>
    <row r="186" spans="2:11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31"/>
        <v>0</v>
      </c>
      <c r="G186" s="25">
        <f t="shared" si="32"/>
        <v>24735</v>
      </c>
      <c r="H186" s="48">
        <f t="shared" si="29"/>
        <v>319.8777796638941</v>
      </c>
      <c r="I186" s="25">
        <f t="shared" si="33"/>
        <v>5891</v>
      </c>
      <c r="J186" s="21"/>
    </row>
    <row r="187" spans="2:11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31"/>
        <v>0</v>
      </c>
      <c r="G187" s="25">
        <f t="shared" si="32"/>
        <v>24735</v>
      </c>
      <c r="H187" s="48">
        <f t="shared" si="29"/>
        <v>319.8777796638941</v>
      </c>
      <c r="I187" s="25">
        <f t="shared" si="33"/>
        <v>5891</v>
      </c>
      <c r="J187" s="21"/>
    </row>
    <row r="188" spans="2:11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31"/>
        <v>0</v>
      </c>
      <c r="G188" s="25">
        <f t="shared" si="32"/>
        <v>24735</v>
      </c>
      <c r="H188" s="48">
        <f t="shared" si="29"/>
        <v>319.8777796638941</v>
      </c>
      <c r="I188" s="25">
        <f>+I187+0</f>
        <v>5891</v>
      </c>
      <c r="J188" s="21"/>
      <c r="K188" s="1"/>
    </row>
    <row r="189" spans="2:11" x14ac:dyDescent="0.35">
      <c r="B189" s="40">
        <v>25</v>
      </c>
      <c r="C189" s="77" t="s">
        <v>76</v>
      </c>
      <c r="D189" s="25">
        <v>0</v>
      </c>
      <c r="E189" s="25">
        <v>0</v>
      </c>
      <c r="F189" s="47">
        <f t="shared" si="31"/>
        <v>0</v>
      </c>
      <c r="G189" s="25">
        <f t="shared" si="32"/>
        <v>24735</v>
      </c>
      <c r="H189" s="48">
        <f t="shared" si="29"/>
        <v>319.8777796638941</v>
      </c>
      <c r="I189" s="25">
        <f>+I188+0</f>
        <v>5891</v>
      </c>
      <c r="J189" s="21"/>
    </row>
    <row r="190" spans="2:11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31"/>
        <v>0</v>
      </c>
      <c r="G190" s="106">
        <f t="shared" si="32"/>
        <v>24735</v>
      </c>
      <c r="H190" s="48">
        <f t="shared" si="29"/>
        <v>319.8777796638941</v>
      </c>
      <c r="I190" s="25">
        <f>+I189+0</f>
        <v>5891</v>
      </c>
      <c r="J190" s="21"/>
      <c r="K190" s="1"/>
    </row>
    <row r="191" spans="2:11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31"/>
        <v>0</v>
      </c>
      <c r="G191" s="120">
        <f t="shared" si="32"/>
        <v>24735</v>
      </c>
      <c r="H191" s="48">
        <f t="shared" si="29"/>
        <v>319.8777796638941</v>
      </c>
      <c r="I191" s="25">
        <f>+I190+0</f>
        <v>5891</v>
      </c>
      <c r="J191" s="21"/>
      <c r="K191" s="1"/>
    </row>
    <row r="192" spans="2:11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31"/>
        <v>0</v>
      </c>
      <c r="G192" s="109">
        <f t="shared" si="32"/>
        <v>24735</v>
      </c>
      <c r="H192" s="48">
        <f t="shared" si="29"/>
        <v>319.8777796638941</v>
      </c>
      <c r="I192" s="25">
        <f>+I191+0</f>
        <v>5891</v>
      </c>
      <c r="J192" s="21"/>
      <c r="K192" s="1"/>
    </row>
    <row r="193" spans="2:11" hidden="1" x14ac:dyDescent="0.35">
      <c r="B193" s="40">
        <v>29</v>
      </c>
      <c r="C193" s="16" t="s">
        <v>30</v>
      </c>
      <c r="D193" s="23"/>
      <c r="E193" s="23"/>
      <c r="F193" s="24">
        <f t="shared" ref="F193:F206" si="34">+E193+D193</f>
        <v>0</v>
      </c>
      <c r="G193" s="23">
        <f t="shared" ref="G193:G196" si="35">+G192+F193</f>
        <v>24735</v>
      </c>
      <c r="H193" s="11">
        <v>0</v>
      </c>
      <c r="I193" s="25">
        <v>0</v>
      </c>
      <c r="J193" s="21"/>
      <c r="K193" s="1"/>
    </row>
    <row r="194" spans="2:11" hidden="1" x14ac:dyDescent="0.35">
      <c r="B194" s="40">
        <v>30</v>
      </c>
      <c r="C194" s="16" t="s">
        <v>31</v>
      </c>
      <c r="D194" s="23"/>
      <c r="E194" s="23"/>
      <c r="F194" s="24">
        <f t="shared" si="34"/>
        <v>0</v>
      </c>
      <c r="G194" s="23">
        <f t="shared" si="35"/>
        <v>24735</v>
      </c>
      <c r="H194" s="11">
        <v>0</v>
      </c>
      <c r="I194" s="25">
        <v>0</v>
      </c>
      <c r="J194" s="21"/>
      <c r="K194" s="1"/>
    </row>
    <row r="195" spans="2:11" hidden="1" x14ac:dyDescent="0.35">
      <c r="B195" s="40">
        <v>31</v>
      </c>
      <c r="C195" s="17" t="s">
        <v>32</v>
      </c>
      <c r="D195" s="23"/>
      <c r="E195" s="23"/>
      <c r="F195" s="24">
        <f t="shared" si="34"/>
        <v>0</v>
      </c>
      <c r="G195" s="23">
        <f t="shared" si="35"/>
        <v>24735</v>
      </c>
      <c r="H195" s="11">
        <v>0</v>
      </c>
      <c r="I195" s="25">
        <v>0</v>
      </c>
      <c r="J195" s="21"/>
      <c r="K195" s="1"/>
    </row>
    <row r="196" spans="2:11" hidden="1" x14ac:dyDescent="0.35">
      <c r="B196" s="40">
        <v>32</v>
      </c>
      <c r="C196" s="27" t="s">
        <v>33</v>
      </c>
      <c r="D196" s="28"/>
      <c r="E196" s="28"/>
      <c r="F196" s="29">
        <f t="shared" si="34"/>
        <v>0</v>
      </c>
      <c r="G196" s="28">
        <f t="shared" si="35"/>
        <v>24735</v>
      </c>
      <c r="H196" s="30">
        <v>0</v>
      </c>
      <c r="I196" s="31">
        <v>0</v>
      </c>
      <c r="J196" s="21"/>
      <c r="K196" s="1"/>
    </row>
    <row r="197" spans="2:11" hidden="1" x14ac:dyDescent="0.35">
      <c r="B197" s="40">
        <v>33</v>
      </c>
      <c r="C197" s="16" t="s">
        <v>29</v>
      </c>
      <c r="D197" s="23"/>
      <c r="E197" s="23"/>
      <c r="F197" s="24">
        <f t="shared" si="34"/>
        <v>0</v>
      </c>
      <c r="G197" s="23">
        <f>+G189+F197</f>
        <v>24735</v>
      </c>
      <c r="H197" s="48" t="e">
        <f t="shared" ref="H197" si="36">((G197-I197)/I197)*100</f>
        <v>#DIV/0!</v>
      </c>
      <c r="I197" s="25">
        <v>0</v>
      </c>
      <c r="J197" s="21"/>
    </row>
    <row r="198" spans="2:11" hidden="1" x14ac:dyDescent="0.35">
      <c r="B198" s="40">
        <v>34</v>
      </c>
      <c r="C198" s="16" t="s">
        <v>27</v>
      </c>
      <c r="D198" s="23"/>
      <c r="E198" s="23"/>
      <c r="F198" s="24">
        <f t="shared" si="34"/>
        <v>0</v>
      </c>
      <c r="G198" s="23">
        <f t="shared" ref="G198:G203" si="37">+G197+F198</f>
        <v>24735</v>
      </c>
      <c r="H198" s="11">
        <v>0</v>
      </c>
      <c r="I198" s="25">
        <v>0</v>
      </c>
      <c r="J198" s="21"/>
      <c r="K198" s="1"/>
    </row>
    <row r="199" spans="2:11" hidden="1" x14ac:dyDescent="0.35">
      <c r="B199" s="40">
        <v>35</v>
      </c>
      <c r="C199" s="16" t="s">
        <v>28</v>
      </c>
      <c r="D199" s="23"/>
      <c r="E199" s="23"/>
      <c r="F199" s="24">
        <f t="shared" si="34"/>
        <v>0</v>
      </c>
      <c r="G199" s="23">
        <f t="shared" si="37"/>
        <v>24735</v>
      </c>
      <c r="H199" s="11">
        <v>0</v>
      </c>
      <c r="I199" s="25">
        <v>0</v>
      </c>
      <c r="J199" s="21"/>
      <c r="K199" s="1"/>
    </row>
    <row r="200" spans="2:11" hidden="1" x14ac:dyDescent="0.35">
      <c r="B200" s="40">
        <v>36</v>
      </c>
      <c r="C200" s="16" t="s">
        <v>29</v>
      </c>
      <c r="D200" s="23"/>
      <c r="E200" s="23"/>
      <c r="F200" s="24">
        <f t="shared" si="34"/>
        <v>0</v>
      </c>
      <c r="G200" s="23">
        <f t="shared" si="37"/>
        <v>24735</v>
      </c>
      <c r="H200" s="11">
        <v>0</v>
      </c>
      <c r="I200" s="25">
        <v>0</v>
      </c>
      <c r="J200" s="21"/>
      <c r="K200" s="1"/>
    </row>
    <row r="201" spans="2:11" hidden="1" x14ac:dyDescent="0.35">
      <c r="B201" s="40">
        <v>37</v>
      </c>
      <c r="C201" s="16" t="s">
        <v>30</v>
      </c>
      <c r="D201" s="23"/>
      <c r="E201" s="23"/>
      <c r="F201" s="24">
        <f t="shared" si="34"/>
        <v>0</v>
      </c>
      <c r="G201" s="23">
        <f t="shared" si="37"/>
        <v>24735</v>
      </c>
      <c r="H201" s="11">
        <v>0</v>
      </c>
      <c r="I201" s="25">
        <v>0</v>
      </c>
      <c r="J201" s="21"/>
      <c r="K201" s="1"/>
    </row>
    <row r="202" spans="2:11" hidden="1" x14ac:dyDescent="0.35">
      <c r="B202" s="40">
        <v>38</v>
      </c>
      <c r="C202" s="16" t="s">
        <v>31</v>
      </c>
      <c r="D202" s="23"/>
      <c r="E202" s="23"/>
      <c r="F202" s="24">
        <f t="shared" si="34"/>
        <v>0</v>
      </c>
      <c r="G202" s="23">
        <f t="shared" si="37"/>
        <v>24735</v>
      </c>
      <c r="H202" s="11">
        <v>0</v>
      </c>
      <c r="I202" s="25">
        <v>0</v>
      </c>
      <c r="J202" s="21"/>
      <c r="K202" s="1"/>
    </row>
    <row r="203" spans="2:11" hidden="1" x14ac:dyDescent="0.35">
      <c r="B203" s="40">
        <v>39</v>
      </c>
      <c r="C203" s="17" t="s">
        <v>32</v>
      </c>
      <c r="D203" s="23"/>
      <c r="E203" s="23"/>
      <c r="F203" s="24">
        <f t="shared" si="34"/>
        <v>0</v>
      </c>
      <c r="G203" s="23">
        <f t="shared" si="37"/>
        <v>24735</v>
      </c>
      <c r="H203" s="11">
        <v>0</v>
      </c>
      <c r="I203" s="25">
        <v>0</v>
      </c>
      <c r="J203" s="21"/>
      <c r="K203" s="1"/>
    </row>
    <row r="204" spans="2:11" hidden="1" x14ac:dyDescent="0.35">
      <c r="B204" s="40">
        <v>40</v>
      </c>
      <c r="C204" s="16" t="s">
        <v>31</v>
      </c>
      <c r="D204" s="23"/>
      <c r="E204" s="23"/>
      <c r="F204" s="24">
        <f t="shared" si="34"/>
        <v>0</v>
      </c>
      <c r="G204" s="23">
        <f>+G187+F204</f>
        <v>24735</v>
      </c>
      <c r="H204" s="11">
        <v>0</v>
      </c>
      <c r="I204" s="25">
        <v>0</v>
      </c>
      <c r="J204" s="21"/>
    </row>
    <row r="205" spans="2:11" hidden="1" x14ac:dyDescent="0.35">
      <c r="B205" s="40">
        <v>41</v>
      </c>
      <c r="C205" s="17" t="s">
        <v>32</v>
      </c>
      <c r="D205" s="23"/>
      <c r="E205" s="23"/>
      <c r="F205" s="24">
        <f t="shared" si="34"/>
        <v>0</v>
      </c>
      <c r="G205" s="23">
        <f t="shared" ref="G205:G206" si="38">+G204+F205</f>
        <v>24735</v>
      </c>
      <c r="H205" s="11">
        <v>0</v>
      </c>
      <c r="I205" s="25">
        <v>0</v>
      </c>
      <c r="J205" s="21"/>
    </row>
    <row r="206" spans="2:11" hidden="1" x14ac:dyDescent="0.35">
      <c r="B206" s="40">
        <v>42</v>
      </c>
      <c r="C206" s="27" t="s">
        <v>33</v>
      </c>
      <c r="D206" s="28"/>
      <c r="E206" s="28"/>
      <c r="F206" s="29">
        <f t="shared" si="34"/>
        <v>0</v>
      </c>
      <c r="G206" s="28">
        <f t="shared" si="38"/>
        <v>24735</v>
      </c>
      <c r="H206" s="30">
        <v>0</v>
      </c>
      <c r="I206" s="31">
        <v>0</v>
      </c>
      <c r="J206" s="21"/>
    </row>
    <row r="207" spans="2:11" x14ac:dyDescent="0.35">
      <c r="B207" s="5"/>
      <c r="C207" s="5"/>
      <c r="D207" s="6"/>
      <c r="E207" s="6"/>
      <c r="F207" s="6"/>
      <c r="G207" s="6"/>
      <c r="H207" s="7"/>
      <c r="I207" s="6"/>
      <c r="J207" s="5"/>
    </row>
    <row r="208" spans="2:11" x14ac:dyDescent="0.35">
      <c r="B208" s="8" t="s">
        <v>34</v>
      </c>
      <c r="C208" s="5"/>
      <c r="D208" s="5"/>
      <c r="E208" s="5"/>
      <c r="F208" s="5"/>
      <c r="G208" s="5"/>
      <c r="H208" s="5"/>
      <c r="I208" s="5"/>
      <c r="J208" s="5"/>
    </row>
    <row r="209" spans="2:10" x14ac:dyDescent="0.35">
      <c r="B209" s="9" t="s">
        <v>35</v>
      </c>
      <c r="C209" s="5"/>
      <c r="D209" s="5"/>
      <c r="E209" s="5"/>
      <c r="F209" s="5"/>
      <c r="G209" s="5"/>
      <c r="H209" s="5"/>
      <c r="I209" s="5"/>
      <c r="J209" s="5"/>
    </row>
    <row r="210" spans="2:10" x14ac:dyDescent="0.35">
      <c r="B210" s="9" t="s">
        <v>36</v>
      </c>
      <c r="C210" s="5"/>
      <c r="D210" s="5"/>
      <c r="E210" s="5"/>
      <c r="F210" s="5"/>
      <c r="G210" s="5"/>
      <c r="H210" s="5"/>
      <c r="I210" s="5"/>
      <c r="J210" s="5"/>
    </row>
    <row r="211" spans="2:10" x14ac:dyDescent="0.35">
      <c r="B211" s="9" t="s">
        <v>37</v>
      </c>
      <c r="C211" s="5"/>
      <c r="D211" s="5"/>
      <c r="E211" s="5"/>
      <c r="F211" s="5"/>
      <c r="G211" s="5"/>
      <c r="H211" s="5"/>
      <c r="I211" s="5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211"/>
  <sheetViews>
    <sheetView zoomScale="80" zoomScaleNormal="80" workbookViewId="0">
      <selection activeCell="A192" sqref="A192:XFD206"/>
    </sheetView>
  </sheetViews>
  <sheetFormatPr defaultColWidth="9" defaultRowHeight="14.5" x14ac:dyDescent="0.35"/>
  <cols>
    <col min="1" max="1" width="2" style="3" customWidth="1"/>
    <col min="2" max="2" width="7.5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5" customFormat="1" ht="18.5" x14ac:dyDescent="0.45">
      <c r="B3" s="26"/>
      <c r="C3" s="26"/>
      <c r="D3" s="182" t="s">
        <v>46</v>
      </c>
      <c r="E3" s="182"/>
      <c r="F3" s="182"/>
      <c r="G3" s="182"/>
      <c r="H3" s="182"/>
      <c r="I3" s="182"/>
      <c r="J3" s="26"/>
      <c r="K3" s="36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74" t="s">
        <v>6</v>
      </c>
      <c r="E5" s="175"/>
      <c r="F5" s="175"/>
      <c r="G5" s="176"/>
      <c r="H5" s="166" t="s">
        <v>7</v>
      </c>
      <c r="I5" s="167"/>
      <c r="J5" s="4"/>
      <c r="K5" s="1"/>
      <c r="L5" s="2"/>
    </row>
    <row r="6" spans="2:12" x14ac:dyDescent="0.35">
      <c r="B6" s="12"/>
      <c r="C6" s="13"/>
      <c r="D6" s="170" t="s">
        <v>9</v>
      </c>
      <c r="E6" s="171"/>
      <c r="F6" s="171"/>
      <c r="G6" s="172"/>
      <c r="H6" s="168"/>
      <c r="I6" s="169"/>
      <c r="J6" s="4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61" t="s">
        <v>16</v>
      </c>
      <c r="I7" s="135" t="s">
        <v>17</v>
      </c>
      <c r="J7" s="19"/>
      <c r="K7" s="1"/>
      <c r="L7" s="2"/>
    </row>
    <row r="8" spans="2:12" ht="33" customHeight="1" x14ac:dyDescent="0.35">
      <c r="B8" s="134"/>
      <c r="C8" s="136"/>
      <c r="D8" s="163" t="s">
        <v>20</v>
      </c>
      <c r="E8" s="164"/>
      <c r="F8" s="164"/>
      <c r="G8" s="165"/>
      <c r="H8" s="162"/>
      <c r="I8" s="136"/>
      <c r="J8" s="19"/>
      <c r="K8" s="1"/>
    </row>
    <row r="9" spans="2:12" x14ac:dyDescent="0.35">
      <c r="B9" s="40">
        <v>4</v>
      </c>
      <c r="C9" s="38" t="s">
        <v>21</v>
      </c>
      <c r="D9" s="20">
        <v>116966.7</v>
      </c>
      <c r="E9" s="20">
        <v>0</v>
      </c>
      <c r="F9" s="43">
        <f>+D9+E9</f>
        <v>116966.7</v>
      </c>
      <c r="G9" s="20">
        <f>+F9</f>
        <v>116966.7</v>
      </c>
      <c r="H9" s="44">
        <f t="shared" ref="H9:H16" si="0">((G9-I9)/I9)*100</f>
        <v>191.63662203605355</v>
      </c>
      <c r="I9" s="20">
        <v>40107</v>
      </c>
      <c r="J9" s="21"/>
      <c r="K9" s="1"/>
    </row>
    <row r="10" spans="2:12" x14ac:dyDescent="0.35">
      <c r="B10" s="40">
        <v>5</v>
      </c>
      <c r="C10" s="38" t="s">
        <v>22</v>
      </c>
      <c r="D10" s="25">
        <v>165330.03</v>
      </c>
      <c r="E10" s="25">
        <v>0</v>
      </c>
      <c r="F10" s="47">
        <f>+E10+D10</f>
        <v>165330.03</v>
      </c>
      <c r="G10" s="25">
        <f>+G9+F10</f>
        <v>282296.73</v>
      </c>
      <c r="H10" s="48">
        <f t="shared" si="0"/>
        <v>-35.736221702268182</v>
      </c>
      <c r="I10" s="25">
        <f>+I9+399171.14</f>
        <v>439278.14</v>
      </c>
      <c r="J10" s="21"/>
      <c r="K10" s="1"/>
    </row>
    <row r="11" spans="2:12" x14ac:dyDescent="0.35">
      <c r="B11" s="40">
        <v>6</v>
      </c>
      <c r="C11" s="38" t="s">
        <v>23</v>
      </c>
      <c r="D11" s="25">
        <v>896702.52</v>
      </c>
      <c r="E11" s="25">
        <v>0</v>
      </c>
      <c r="F11" s="47">
        <f>+E11+D11</f>
        <v>896702.52</v>
      </c>
      <c r="G11" s="25">
        <f t="shared" ref="G11:G33" si="1">+G10+F11</f>
        <v>1178999.25</v>
      </c>
      <c r="H11" s="48">
        <f t="shared" si="0"/>
        <v>44.606208894141155</v>
      </c>
      <c r="I11" s="25">
        <f>+I10+376039.03</f>
        <v>815317.17</v>
      </c>
      <c r="J11" s="21"/>
      <c r="K11" s="1"/>
    </row>
    <row r="12" spans="2:12" x14ac:dyDescent="0.35">
      <c r="B12" s="40">
        <v>7</v>
      </c>
      <c r="C12" s="38" t="s">
        <v>24</v>
      </c>
      <c r="D12" s="25">
        <v>570167.59</v>
      </c>
      <c r="E12" s="25">
        <v>400197.5</v>
      </c>
      <c r="F12" s="47">
        <f t="shared" ref="F12:F33" si="2">+E12+D12</f>
        <v>970365.09</v>
      </c>
      <c r="G12" s="25">
        <f>+G11+F12</f>
        <v>2149364.34</v>
      </c>
      <c r="H12" s="48">
        <f t="shared" si="0"/>
        <v>40.107075026660475</v>
      </c>
      <c r="I12" s="25">
        <f>+I11+718769.77</f>
        <v>1534086.94</v>
      </c>
      <c r="J12" s="21"/>
      <c r="K12" s="1"/>
    </row>
    <row r="13" spans="2:12" x14ac:dyDescent="0.35">
      <c r="B13" s="40">
        <v>8</v>
      </c>
      <c r="C13" s="38" t="s">
        <v>25</v>
      </c>
      <c r="D13" s="25">
        <v>1091406.01</v>
      </c>
      <c r="E13" s="25">
        <v>0</v>
      </c>
      <c r="F13" s="47">
        <f t="shared" si="2"/>
        <v>1091406.01</v>
      </c>
      <c r="G13" s="25">
        <f t="shared" si="1"/>
        <v>3240770.3499999996</v>
      </c>
      <c r="H13" s="48">
        <f t="shared" si="0"/>
        <v>30.957374487837917</v>
      </c>
      <c r="I13" s="25">
        <v>2474675.7200000002</v>
      </c>
      <c r="J13" s="21"/>
      <c r="K13" s="1"/>
    </row>
    <row r="14" spans="2:12" x14ac:dyDescent="0.35">
      <c r="B14" s="40">
        <v>9</v>
      </c>
      <c r="C14" s="38" t="s">
        <v>26</v>
      </c>
      <c r="D14" s="25">
        <v>863298.01</v>
      </c>
      <c r="E14" s="25">
        <v>0</v>
      </c>
      <c r="F14" s="47">
        <f t="shared" si="2"/>
        <v>863298.01</v>
      </c>
      <c r="G14" s="25">
        <f t="shared" si="1"/>
        <v>4104068.3599999994</v>
      </c>
      <c r="H14" s="48">
        <f t="shared" si="0"/>
        <v>2.464846960077526</v>
      </c>
      <c r="I14" s="25">
        <f>+I13+1530667.07</f>
        <v>4005342.79</v>
      </c>
      <c r="J14" s="21"/>
      <c r="K14" s="1"/>
    </row>
    <row r="15" spans="2:12" x14ac:dyDescent="0.35">
      <c r="B15" s="40">
        <v>10</v>
      </c>
      <c r="C15" s="38" t="s">
        <v>62</v>
      </c>
      <c r="D15" s="25">
        <v>1404338.52</v>
      </c>
      <c r="E15" s="25">
        <v>0</v>
      </c>
      <c r="F15" s="47">
        <f t="shared" si="2"/>
        <v>1404338.52</v>
      </c>
      <c r="G15" s="25">
        <f t="shared" si="1"/>
        <v>5508406.879999999</v>
      </c>
      <c r="H15" s="48">
        <f t="shared" si="0"/>
        <v>-5.7205904615992136</v>
      </c>
      <c r="I15" s="25">
        <f>+I14+1837297.62</f>
        <v>5842640.4100000001</v>
      </c>
      <c r="J15" s="21"/>
      <c r="K15" s="1"/>
    </row>
    <row r="16" spans="2:12" x14ac:dyDescent="0.35">
      <c r="B16" s="40">
        <v>11</v>
      </c>
      <c r="C16" s="38" t="s">
        <v>63</v>
      </c>
      <c r="D16" s="25">
        <v>2418715.52</v>
      </c>
      <c r="E16" s="25">
        <v>0</v>
      </c>
      <c r="F16" s="47">
        <f t="shared" si="2"/>
        <v>2418715.52</v>
      </c>
      <c r="G16" s="25">
        <f t="shared" si="1"/>
        <v>7927122.3999999985</v>
      </c>
      <c r="H16" s="48">
        <f t="shared" si="0"/>
        <v>13.704627673612851</v>
      </c>
      <c r="I16" s="25">
        <f>+I15+1129039.25</f>
        <v>6971679.6600000001</v>
      </c>
      <c r="J16" s="21"/>
      <c r="K16" s="1"/>
    </row>
    <row r="17" spans="2:11" x14ac:dyDescent="0.35">
      <c r="B17" s="40">
        <v>12</v>
      </c>
      <c r="C17" s="38" t="s">
        <v>78</v>
      </c>
      <c r="D17" s="25">
        <v>2585248.5499999998</v>
      </c>
      <c r="E17" s="25">
        <v>0</v>
      </c>
      <c r="F17" s="47">
        <f t="shared" si="2"/>
        <v>2585248.5499999998</v>
      </c>
      <c r="G17" s="25">
        <f t="shared" si="1"/>
        <v>10512370.949999999</v>
      </c>
      <c r="H17" s="48">
        <f>((G17-I17)/I17)*100</f>
        <v>35.563973952069446</v>
      </c>
      <c r="I17" s="25">
        <f>+I16+782866.51</f>
        <v>7754546.1699999999</v>
      </c>
      <c r="J17" s="21"/>
      <c r="K17" s="1"/>
    </row>
    <row r="18" spans="2:11" x14ac:dyDescent="0.35">
      <c r="B18" s="40">
        <v>13</v>
      </c>
      <c r="C18" s="38" t="s">
        <v>64</v>
      </c>
      <c r="D18" s="25">
        <v>1450265.05</v>
      </c>
      <c r="E18" s="25">
        <v>0</v>
      </c>
      <c r="F18" s="47">
        <f t="shared" si="2"/>
        <v>1450265.05</v>
      </c>
      <c r="G18" s="25">
        <f t="shared" si="1"/>
        <v>11962636</v>
      </c>
      <c r="H18" s="48">
        <f>((G18-I18)/I18)*100</f>
        <v>42.026167228058114</v>
      </c>
      <c r="I18" s="25">
        <v>8422839.4199999999</v>
      </c>
      <c r="J18" s="21"/>
      <c r="K18" s="1"/>
    </row>
    <row r="19" spans="2:11" x14ac:dyDescent="0.35">
      <c r="B19" s="40">
        <v>14</v>
      </c>
      <c r="C19" s="58" t="s">
        <v>65</v>
      </c>
      <c r="D19" s="25">
        <v>293840</v>
      </c>
      <c r="E19" s="25">
        <v>67776.5</v>
      </c>
      <c r="F19" s="47">
        <f t="shared" si="2"/>
        <v>361616.5</v>
      </c>
      <c r="G19" s="25">
        <f t="shared" si="1"/>
        <v>12324252.5</v>
      </c>
      <c r="H19" s="48">
        <f>((G19-I19)/I19)*100</f>
        <v>26.818111953838592</v>
      </c>
      <c r="I19" s="25">
        <f>+I18+1295214.5</f>
        <v>9718053.9199999999</v>
      </c>
      <c r="J19" s="21"/>
      <c r="K19" s="1"/>
    </row>
    <row r="20" spans="2:11" x14ac:dyDescent="0.35">
      <c r="B20" s="40">
        <v>15</v>
      </c>
      <c r="C20" s="38" t="s">
        <v>66</v>
      </c>
      <c r="D20" s="25">
        <v>636937</v>
      </c>
      <c r="E20" s="25">
        <v>0</v>
      </c>
      <c r="F20" s="47">
        <f t="shared" si="2"/>
        <v>636937</v>
      </c>
      <c r="G20" s="25">
        <f t="shared" si="1"/>
        <v>12961189.5</v>
      </c>
      <c r="H20" s="48">
        <f>((G20-I20)/I20)*100</f>
        <v>23.965991953354173</v>
      </c>
      <c r="I20" s="25">
        <f>737385.75+I19</f>
        <v>10455439.67</v>
      </c>
      <c r="J20" s="21"/>
      <c r="K20" s="1"/>
    </row>
    <row r="21" spans="2:11" x14ac:dyDescent="0.35">
      <c r="B21" s="40">
        <v>16</v>
      </c>
      <c r="C21" s="38" t="s">
        <v>67</v>
      </c>
      <c r="D21" s="25">
        <v>797584.5</v>
      </c>
      <c r="E21" s="25">
        <v>35132</v>
      </c>
      <c r="F21" s="47">
        <f t="shared" si="2"/>
        <v>832716.5</v>
      </c>
      <c r="G21" s="25">
        <f t="shared" si="1"/>
        <v>13793906</v>
      </c>
      <c r="H21" s="48">
        <f t="shared" ref="H21:H33" si="3">((G21-I21)/I21)*100</f>
        <v>22.293353758560812</v>
      </c>
      <c r="I21" s="25">
        <v>11279358.67</v>
      </c>
      <c r="J21" s="21"/>
      <c r="K21" s="1"/>
    </row>
    <row r="22" spans="2:11" x14ac:dyDescent="0.35">
      <c r="B22" s="40">
        <v>17</v>
      </c>
      <c r="C22" s="38" t="s">
        <v>68</v>
      </c>
      <c r="D22" s="25">
        <v>420456</v>
      </c>
      <c r="E22" s="25">
        <v>77181.5</v>
      </c>
      <c r="F22" s="47">
        <f t="shared" si="2"/>
        <v>497637.5</v>
      </c>
      <c r="G22" s="25">
        <f t="shared" si="1"/>
        <v>14291543.5</v>
      </c>
      <c r="H22" s="48">
        <f t="shared" si="3"/>
        <v>18.710232561729029</v>
      </c>
      <c r="I22" s="25">
        <v>12039015.67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314257.5</v>
      </c>
      <c r="E23" s="25">
        <v>0</v>
      </c>
      <c r="F23" s="47">
        <f t="shared" si="2"/>
        <v>314257.5</v>
      </c>
      <c r="G23" s="25">
        <f t="shared" si="1"/>
        <v>14605801</v>
      </c>
      <c r="H23" s="48">
        <f t="shared" si="3"/>
        <v>12.037641122425288</v>
      </c>
      <c r="I23" s="25">
        <f>+I22+997496.75</f>
        <v>13036512.42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333090</v>
      </c>
      <c r="E24" s="25">
        <v>0</v>
      </c>
      <c r="F24" s="47">
        <f t="shared" si="2"/>
        <v>333090</v>
      </c>
      <c r="G24" s="25">
        <f t="shared" si="1"/>
        <v>14938891</v>
      </c>
      <c r="H24" s="48">
        <f t="shared" si="3"/>
        <v>9.9061510054127897</v>
      </c>
      <c r="I24" s="25">
        <f>+I23+555894.25</f>
        <v>13592406.67</v>
      </c>
      <c r="J24" s="21"/>
      <c r="K24" s="1"/>
    </row>
    <row r="25" spans="2:11" x14ac:dyDescent="0.35">
      <c r="B25" s="40">
        <v>20</v>
      </c>
      <c r="C25" s="38" t="s">
        <v>71</v>
      </c>
      <c r="D25" s="25">
        <v>84067.5</v>
      </c>
      <c r="E25" s="25">
        <v>10850</v>
      </c>
      <c r="F25" s="47">
        <f t="shared" si="2"/>
        <v>94917.5</v>
      </c>
      <c r="G25" s="25">
        <f t="shared" si="1"/>
        <v>15033808.5</v>
      </c>
      <c r="H25" s="48">
        <f t="shared" si="3"/>
        <v>3.7810949083775331</v>
      </c>
      <c r="I25" s="25">
        <f>+I24+893669.54</f>
        <v>14486076.210000001</v>
      </c>
      <c r="J25" s="21"/>
      <c r="K25" s="1"/>
    </row>
    <row r="26" spans="2:11" x14ac:dyDescent="0.35">
      <c r="B26" s="40">
        <v>21</v>
      </c>
      <c r="C26" s="38" t="s">
        <v>72</v>
      </c>
      <c r="D26" s="25">
        <v>358629.5</v>
      </c>
      <c r="E26" s="25">
        <v>0</v>
      </c>
      <c r="F26" s="47">
        <f t="shared" si="2"/>
        <v>358629.5</v>
      </c>
      <c r="G26" s="25">
        <f t="shared" si="1"/>
        <v>15392438</v>
      </c>
      <c r="H26" s="48">
        <f t="shared" si="3"/>
        <v>3.5121894949055972</v>
      </c>
      <c r="I26" s="25">
        <f>+I25+384093.26</f>
        <v>14870169.470000001</v>
      </c>
      <c r="J26" s="21"/>
      <c r="K26" s="1"/>
    </row>
    <row r="27" spans="2:11" x14ac:dyDescent="0.35">
      <c r="B27" s="40">
        <v>22</v>
      </c>
      <c r="C27" s="38" t="s">
        <v>73</v>
      </c>
      <c r="D27" s="25">
        <v>470714</v>
      </c>
      <c r="E27" s="25">
        <v>0</v>
      </c>
      <c r="F27" s="47">
        <f t="shared" si="2"/>
        <v>470714</v>
      </c>
      <c r="G27" s="25">
        <f t="shared" si="1"/>
        <v>15863152</v>
      </c>
      <c r="H27" s="48">
        <f t="shared" si="3"/>
        <v>4.7216640664996792</v>
      </c>
      <c r="I27" s="25">
        <f>+I26+277748.72</f>
        <v>15147918.190000001</v>
      </c>
      <c r="J27" s="21"/>
      <c r="K27" s="1"/>
    </row>
    <row r="28" spans="2:11" x14ac:dyDescent="0.35">
      <c r="B28" s="40">
        <v>23</v>
      </c>
      <c r="C28" s="38" t="s">
        <v>80</v>
      </c>
      <c r="D28" s="25">
        <v>545344</v>
      </c>
      <c r="E28" s="25">
        <v>0</v>
      </c>
      <c r="F28" s="47">
        <f t="shared" si="2"/>
        <v>545344</v>
      </c>
      <c r="G28" s="25">
        <f t="shared" si="1"/>
        <v>16408496</v>
      </c>
      <c r="H28" s="48">
        <f t="shared" si="3"/>
        <v>7.6819741214700112</v>
      </c>
      <c r="I28" s="25">
        <f>+I27+90004.53</f>
        <v>15237922.720000001</v>
      </c>
      <c r="J28" s="21"/>
      <c r="K28" s="1"/>
    </row>
    <row r="29" spans="2:11" x14ac:dyDescent="0.35">
      <c r="B29" s="40">
        <v>24</v>
      </c>
      <c r="C29" s="38" t="s">
        <v>75</v>
      </c>
      <c r="D29" s="25">
        <v>214752.3</v>
      </c>
      <c r="E29" s="25">
        <v>0</v>
      </c>
      <c r="F29" s="47">
        <f t="shared" si="2"/>
        <v>214752.3</v>
      </c>
      <c r="G29" s="25">
        <f t="shared" si="1"/>
        <v>16623248.300000001</v>
      </c>
      <c r="H29" s="48">
        <f t="shared" si="3"/>
        <v>8.3895724591826895</v>
      </c>
      <c r="I29" s="25">
        <f>+I28+98652.49</f>
        <v>15336575.210000001</v>
      </c>
      <c r="J29" s="21"/>
      <c r="K29" s="1"/>
    </row>
    <row r="30" spans="2:11" x14ac:dyDescent="0.35">
      <c r="B30" s="40">
        <v>25</v>
      </c>
      <c r="C30" s="77" t="s">
        <v>76</v>
      </c>
      <c r="D30" s="25">
        <v>268742.7</v>
      </c>
      <c r="E30" s="25">
        <v>0</v>
      </c>
      <c r="F30" s="47">
        <f t="shared" si="2"/>
        <v>268742.7</v>
      </c>
      <c r="G30" s="25">
        <f t="shared" si="1"/>
        <v>16891991</v>
      </c>
      <c r="H30" s="48">
        <f t="shared" si="3"/>
        <v>10.141871758864468</v>
      </c>
      <c r="I30" s="25">
        <f>+I29+0</f>
        <v>15336575.210000001</v>
      </c>
      <c r="J30" s="21"/>
      <c r="K30" s="1"/>
    </row>
    <row r="31" spans="2:11" x14ac:dyDescent="0.35">
      <c r="B31" s="111">
        <v>26</v>
      </c>
      <c r="C31" s="112" t="s">
        <v>77</v>
      </c>
      <c r="D31" s="105">
        <v>128.5</v>
      </c>
      <c r="E31" s="106">
        <v>0</v>
      </c>
      <c r="F31" s="107">
        <f t="shared" si="2"/>
        <v>128.5</v>
      </c>
      <c r="G31" s="106">
        <f t="shared" si="1"/>
        <v>16892119.5</v>
      </c>
      <c r="H31" s="48">
        <f t="shared" si="3"/>
        <v>10.142709625195383</v>
      </c>
      <c r="I31" s="25">
        <f>+I30+0</f>
        <v>15336575.210000001</v>
      </c>
      <c r="J31" s="21"/>
      <c r="K31" s="1"/>
    </row>
    <row r="32" spans="2:11" ht="12.65" customHeight="1" x14ac:dyDescent="0.35">
      <c r="B32" s="111">
        <v>27</v>
      </c>
      <c r="C32" s="77" t="s">
        <v>81</v>
      </c>
      <c r="D32" s="119">
        <v>0</v>
      </c>
      <c r="E32" s="120">
        <v>0</v>
      </c>
      <c r="F32" s="121">
        <f t="shared" si="2"/>
        <v>0</v>
      </c>
      <c r="G32" s="120">
        <f t="shared" si="1"/>
        <v>16892119.5</v>
      </c>
      <c r="H32" s="48">
        <f t="shared" si="3"/>
        <v>10.142709625195383</v>
      </c>
      <c r="I32" s="25">
        <f>+I31+0</f>
        <v>15336575.210000001</v>
      </c>
      <c r="J32" s="21"/>
    </row>
    <row r="33" spans="2:11" ht="12.65" customHeight="1" x14ac:dyDescent="0.35">
      <c r="B33" s="110">
        <v>28</v>
      </c>
      <c r="C33" s="77" t="s">
        <v>87</v>
      </c>
      <c r="D33" s="108">
        <v>26487</v>
      </c>
      <c r="E33" s="108">
        <v>3241</v>
      </c>
      <c r="F33" s="109">
        <f t="shared" si="2"/>
        <v>29728</v>
      </c>
      <c r="G33" s="109">
        <f t="shared" si="1"/>
        <v>16921847.5</v>
      </c>
      <c r="H33" s="48">
        <f t="shared" si="3"/>
        <v>10.336546903681237</v>
      </c>
      <c r="I33" s="25">
        <f>+I32+0</f>
        <v>15336575.210000001</v>
      </c>
      <c r="J33" s="21"/>
    </row>
    <row r="34" spans="2:11" hidden="1" x14ac:dyDescent="0.35">
      <c r="B34" s="40">
        <v>29</v>
      </c>
      <c r="C34" s="16" t="s">
        <v>27</v>
      </c>
      <c r="D34" s="23"/>
      <c r="E34" s="23"/>
      <c r="F34" s="24">
        <f t="shared" ref="F34:F47" si="4">+E34+D34</f>
        <v>0</v>
      </c>
      <c r="G34" s="23">
        <f t="shared" ref="G34:G40" si="5">+G33+F34</f>
        <v>16921847.5</v>
      </c>
      <c r="H34" s="11">
        <v>0</v>
      </c>
      <c r="I34" s="25">
        <v>0</v>
      </c>
      <c r="J34" s="21"/>
      <c r="K34" s="1"/>
    </row>
    <row r="35" spans="2:11" hidden="1" x14ac:dyDescent="0.35">
      <c r="B35" s="40">
        <v>30</v>
      </c>
      <c r="C35" s="16" t="s">
        <v>28</v>
      </c>
      <c r="D35" s="23"/>
      <c r="E35" s="23"/>
      <c r="F35" s="24">
        <f t="shared" si="4"/>
        <v>0</v>
      </c>
      <c r="G35" s="23">
        <f t="shared" si="5"/>
        <v>16921847.5</v>
      </c>
      <c r="H35" s="11">
        <v>0</v>
      </c>
      <c r="I35" s="25">
        <v>0</v>
      </c>
      <c r="J35" s="21"/>
      <c r="K35" s="1"/>
    </row>
    <row r="36" spans="2:11" hidden="1" x14ac:dyDescent="0.35">
      <c r="B36" s="40">
        <v>31</v>
      </c>
      <c r="C36" s="16" t="s">
        <v>29</v>
      </c>
      <c r="D36" s="23"/>
      <c r="E36" s="23"/>
      <c r="F36" s="24">
        <f t="shared" si="4"/>
        <v>0</v>
      </c>
      <c r="G36" s="23">
        <f t="shared" si="5"/>
        <v>16921847.5</v>
      </c>
      <c r="H36" s="11">
        <v>0</v>
      </c>
      <c r="I36" s="25">
        <v>0</v>
      </c>
      <c r="J36" s="21"/>
      <c r="K36" s="1"/>
    </row>
    <row r="37" spans="2:11" hidden="1" x14ac:dyDescent="0.35">
      <c r="B37" s="40">
        <v>32</v>
      </c>
      <c r="C37" s="16" t="s">
        <v>30</v>
      </c>
      <c r="D37" s="23"/>
      <c r="E37" s="23"/>
      <c r="F37" s="24">
        <f t="shared" si="4"/>
        <v>0</v>
      </c>
      <c r="G37" s="23">
        <f t="shared" si="5"/>
        <v>16921847.5</v>
      </c>
      <c r="H37" s="11">
        <v>0</v>
      </c>
      <c r="I37" s="25">
        <v>0</v>
      </c>
      <c r="J37" s="21"/>
      <c r="K37" s="1"/>
    </row>
    <row r="38" spans="2:11" hidden="1" x14ac:dyDescent="0.35">
      <c r="B38" s="40">
        <v>33</v>
      </c>
      <c r="C38" s="16" t="s">
        <v>31</v>
      </c>
      <c r="D38" s="23"/>
      <c r="E38" s="23"/>
      <c r="F38" s="24">
        <f t="shared" si="4"/>
        <v>0</v>
      </c>
      <c r="G38" s="23">
        <f t="shared" si="5"/>
        <v>16921847.5</v>
      </c>
      <c r="H38" s="11">
        <v>0</v>
      </c>
      <c r="I38" s="25">
        <v>0</v>
      </c>
      <c r="J38" s="21"/>
      <c r="K38" s="1"/>
    </row>
    <row r="39" spans="2:11" hidden="1" x14ac:dyDescent="0.35">
      <c r="B39" s="40">
        <v>34</v>
      </c>
      <c r="C39" s="17" t="s">
        <v>32</v>
      </c>
      <c r="D39" s="23"/>
      <c r="E39" s="23"/>
      <c r="F39" s="24">
        <f t="shared" si="4"/>
        <v>0</v>
      </c>
      <c r="G39" s="23">
        <f t="shared" si="5"/>
        <v>16921847.5</v>
      </c>
      <c r="H39" s="11">
        <v>0</v>
      </c>
      <c r="I39" s="25">
        <v>0</v>
      </c>
      <c r="J39" s="21"/>
      <c r="K39" s="1"/>
    </row>
    <row r="40" spans="2:11" hidden="1" x14ac:dyDescent="0.35">
      <c r="B40" s="40">
        <v>35</v>
      </c>
      <c r="C40" s="27" t="s">
        <v>33</v>
      </c>
      <c r="D40" s="28"/>
      <c r="E40" s="28"/>
      <c r="F40" s="29">
        <f t="shared" si="4"/>
        <v>0</v>
      </c>
      <c r="G40" s="28">
        <f t="shared" si="5"/>
        <v>16921847.5</v>
      </c>
      <c r="H40" s="30">
        <v>0</v>
      </c>
      <c r="I40" s="31">
        <v>0</v>
      </c>
      <c r="J40" s="21"/>
      <c r="K40" s="1"/>
    </row>
    <row r="41" spans="2:11" ht="12.65" hidden="1" customHeight="1" x14ac:dyDescent="0.35">
      <c r="B41" s="40">
        <v>36</v>
      </c>
      <c r="C41" s="16" t="s">
        <v>31</v>
      </c>
      <c r="D41" s="23"/>
      <c r="E41" s="23"/>
      <c r="F41" s="24">
        <f t="shared" si="4"/>
        <v>0</v>
      </c>
      <c r="G41" s="23">
        <f>+G33+F41</f>
        <v>16921847.5</v>
      </c>
      <c r="H41" s="11">
        <v>0</v>
      </c>
      <c r="I41" s="25">
        <v>0</v>
      </c>
      <c r="J41" s="21"/>
    </row>
    <row r="42" spans="2:11" ht="12.65" hidden="1" customHeight="1" x14ac:dyDescent="0.35">
      <c r="B42" s="40">
        <v>37</v>
      </c>
      <c r="C42" s="17"/>
      <c r="D42" s="23"/>
      <c r="E42" s="23"/>
      <c r="F42" s="24"/>
      <c r="G42" s="23"/>
      <c r="H42" s="11"/>
      <c r="I42" s="25"/>
      <c r="J42" s="21"/>
    </row>
    <row r="43" spans="2:11" ht="12.65" hidden="1" customHeight="1" x14ac:dyDescent="0.35">
      <c r="B43" s="40">
        <v>38</v>
      </c>
      <c r="C43" s="17"/>
      <c r="D43" s="23"/>
      <c r="E43" s="23"/>
      <c r="F43" s="24"/>
      <c r="G43" s="23"/>
      <c r="H43" s="11"/>
      <c r="I43" s="25"/>
      <c r="J43" s="21"/>
    </row>
    <row r="44" spans="2:11" ht="12.65" hidden="1" customHeight="1" x14ac:dyDescent="0.35">
      <c r="B44" s="40">
        <v>39</v>
      </c>
      <c r="C44" s="17" t="s">
        <v>32</v>
      </c>
      <c r="D44" s="23"/>
      <c r="E44" s="23"/>
      <c r="F44" s="24">
        <f t="shared" ref="F44:F45" si="6">+E44+D44</f>
        <v>0</v>
      </c>
      <c r="G44" s="23">
        <f>+G41+F44</f>
        <v>16921847.5</v>
      </c>
      <c r="H44" s="11">
        <v>0</v>
      </c>
      <c r="I44" s="25">
        <v>0</v>
      </c>
      <c r="J44" s="21"/>
    </row>
    <row r="45" spans="2:11" ht="12.65" hidden="1" customHeight="1" x14ac:dyDescent="0.35">
      <c r="B45" s="40">
        <v>40</v>
      </c>
      <c r="C45" s="27" t="s">
        <v>33</v>
      </c>
      <c r="D45" s="28"/>
      <c r="E45" s="28"/>
      <c r="F45" s="29">
        <f t="shared" si="6"/>
        <v>0</v>
      </c>
      <c r="G45" s="28">
        <f t="shared" ref="G45" si="7">+G44+F45</f>
        <v>16921847.5</v>
      </c>
      <c r="H45" s="30">
        <v>0</v>
      </c>
      <c r="I45" s="31">
        <v>0</v>
      </c>
      <c r="J45" s="21"/>
    </row>
    <row r="46" spans="2:11" hidden="1" x14ac:dyDescent="0.35">
      <c r="B46" s="40">
        <v>41</v>
      </c>
      <c r="C46" s="17" t="s">
        <v>32</v>
      </c>
      <c r="D46" s="23"/>
      <c r="E46" s="23"/>
      <c r="F46" s="24">
        <f t="shared" si="4"/>
        <v>0</v>
      </c>
      <c r="G46" s="23">
        <f>+G29+F46</f>
        <v>16623248.300000001</v>
      </c>
      <c r="H46" s="11">
        <v>0</v>
      </c>
      <c r="I46" s="25">
        <v>0</v>
      </c>
      <c r="J46" s="21"/>
      <c r="K46" s="1"/>
    </row>
    <row r="47" spans="2:11" hidden="1" x14ac:dyDescent="0.35">
      <c r="B47" s="40">
        <v>42</v>
      </c>
      <c r="C47" s="27" t="s">
        <v>33</v>
      </c>
      <c r="D47" s="28"/>
      <c r="E47" s="28"/>
      <c r="F47" s="29">
        <f t="shared" si="4"/>
        <v>0</v>
      </c>
      <c r="G47" s="28">
        <f t="shared" ref="G47" si="8">+G46+F47</f>
        <v>16623248.300000001</v>
      </c>
      <c r="H47" s="30">
        <v>0</v>
      </c>
      <c r="I47" s="31">
        <v>0</v>
      </c>
      <c r="J47" s="21"/>
      <c r="K47" s="1"/>
    </row>
    <row r="48" spans="2:11" x14ac:dyDescent="0.35">
      <c r="B48" s="5"/>
      <c r="C48" s="5"/>
      <c r="D48" s="6"/>
      <c r="E48" s="6"/>
      <c r="F48" s="6"/>
      <c r="G48" s="6"/>
      <c r="H48" s="7"/>
      <c r="I48" s="6"/>
      <c r="J48" s="5"/>
      <c r="K48" s="1"/>
    </row>
    <row r="49" spans="2:11" x14ac:dyDescent="0.35">
      <c r="B49" s="8" t="s">
        <v>34</v>
      </c>
      <c r="C49" s="5"/>
      <c r="D49" s="5"/>
      <c r="E49" s="5"/>
      <c r="F49" s="5"/>
      <c r="G49" s="5"/>
      <c r="H49" s="5"/>
      <c r="I49" s="5"/>
      <c r="J49" s="5"/>
      <c r="K49" s="1"/>
    </row>
    <row r="50" spans="2:11" x14ac:dyDescent="0.35">
      <c r="B50" s="9" t="s">
        <v>35</v>
      </c>
      <c r="C50" s="5"/>
      <c r="D50" s="5"/>
      <c r="E50" s="5"/>
      <c r="F50" s="5"/>
      <c r="G50" s="5"/>
      <c r="H50" s="5"/>
      <c r="I50" s="5"/>
      <c r="J50" s="5"/>
      <c r="K50" s="1"/>
    </row>
    <row r="51" spans="2:11" x14ac:dyDescent="0.35">
      <c r="B51" s="9" t="s">
        <v>36</v>
      </c>
      <c r="C51" s="5"/>
      <c r="D51" s="5"/>
      <c r="E51" s="5"/>
      <c r="F51" s="5"/>
      <c r="G51" s="5"/>
      <c r="H51" s="5"/>
      <c r="I51" s="5"/>
      <c r="J51" s="5"/>
      <c r="K51" s="1"/>
    </row>
    <row r="52" spans="2:11" x14ac:dyDescent="0.35">
      <c r="B52" s="9" t="s">
        <v>37</v>
      </c>
      <c r="C52" s="5"/>
      <c r="D52" s="5"/>
      <c r="E52" s="5"/>
      <c r="F52" s="5"/>
      <c r="G52" s="5"/>
      <c r="H52" s="5"/>
      <c r="I52" s="5"/>
      <c r="J52" s="5"/>
      <c r="K52" s="1"/>
    </row>
    <row r="53" spans="2:11" x14ac:dyDescent="0.35">
      <c r="B53" s="9"/>
      <c r="C53" s="5"/>
      <c r="D53" s="5"/>
      <c r="E53" s="5"/>
      <c r="F53" s="5"/>
      <c r="G53" s="5"/>
      <c r="H53" s="5"/>
      <c r="I53" s="5"/>
      <c r="J53" s="5"/>
      <c r="K53" s="1"/>
    </row>
    <row r="54" spans="2:11" x14ac:dyDescent="0.35">
      <c r="B54" s="9"/>
      <c r="C54" s="5"/>
      <c r="D54" s="5"/>
      <c r="E54" s="5"/>
      <c r="F54" s="5"/>
      <c r="G54" s="5"/>
      <c r="H54" s="5"/>
      <c r="I54" s="5"/>
      <c r="J54" s="5"/>
      <c r="K54" s="1"/>
    </row>
    <row r="55" spans="2:11" ht="18.5" x14ac:dyDescent="0.45">
      <c r="B55" s="10"/>
      <c r="C55" s="10"/>
      <c r="D55" s="180" t="s">
        <v>38</v>
      </c>
      <c r="E55" s="180"/>
      <c r="F55" s="180"/>
      <c r="G55" s="180"/>
      <c r="H55" s="180"/>
      <c r="I55" s="180"/>
      <c r="J55" s="10"/>
    </row>
    <row r="56" spans="2:11" s="35" customFormat="1" ht="16" x14ac:dyDescent="0.4">
      <c r="B56" s="26"/>
      <c r="C56" s="26"/>
      <c r="D56" s="181" t="s">
        <v>46</v>
      </c>
      <c r="E56" s="181"/>
      <c r="F56" s="181"/>
      <c r="G56" s="181"/>
      <c r="H56" s="181"/>
      <c r="I56" s="181"/>
      <c r="J56" s="26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74" t="s">
        <v>6</v>
      </c>
      <c r="E58" s="175"/>
      <c r="F58" s="175"/>
      <c r="G58" s="176"/>
      <c r="H58" s="166" t="s">
        <v>7</v>
      </c>
      <c r="I58" s="167"/>
      <c r="J58" s="4"/>
    </row>
    <row r="59" spans="2:11" x14ac:dyDescent="0.35">
      <c r="B59" s="12"/>
      <c r="C59" s="13"/>
      <c r="D59" s="170" t="s">
        <v>9</v>
      </c>
      <c r="E59" s="171"/>
      <c r="F59" s="171"/>
      <c r="G59" s="172"/>
      <c r="H59" s="168"/>
      <c r="I59" s="169"/>
      <c r="J59" s="4"/>
    </row>
    <row r="60" spans="2:11" ht="14.4" customHeight="1" x14ac:dyDescent="0.35">
      <c r="B60" s="133" t="s">
        <v>10</v>
      </c>
      <c r="C60" s="135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61" t="s">
        <v>16</v>
      </c>
      <c r="I60" s="135" t="s">
        <v>17</v>
      </c>
      <c r="J60" s="19"/>
    </row>
    <row r="61" spans="2:11" ht="37.65" customHeight="1" x14ac:dyDescent="0.35">
      <c r="B61" s="134"/>
      <c r="C61" s="136"/>
      <c r="D61" s="163" t="s">
        <v>20</v>
      </c>
      <c r="E61" s="164"/>
      <c r="F61" s="164"/>
      <c r="G61" s="165"/>
      <c r="H61" s="162"/>
      <c r="I61" s="136"/>
      <c r="J61" s="19"/>
    </row>
    <row r="62" spans="2:11" x14ac:dyDescent="0.35">
      <c r="B62" s="40">
        <v>4</v>
      </c>
      <c r="C62" s="38" t="s">
        <v>21</v>
      </c>
      <c r="D62" s="20">
        <v>85624.69</v>
      </c>
      <c r="E62" s="20">
        <v>0</v>
      </c>
      <c r="F62" s="43">
        <f>+D62+E62</f>
        <v>85624.69</v>
      </c>
      <c r="G62" s="20">
        <f>+F62</f>
        <v>85624.69</v>
      </c>
      <c r="H62" s="44">
        <f t="shared" ref="H62:H69" si="9">((G62-I62)/I62)*100</f>
        <v>113.4906375445683</v>
      </c>
      <c r="I62" s="20">
        <v>40107</v>
      </c>
      <c r="J62" s="21"/>
    </row>
    <row r="63" spans="2:11" x14ac:dyDescent="0.35">
      <c r="B63" s="40">
        <v>5</v>
      </c>
      <c r="C63" s="38" t="s">
        <v>22</v>
      </c>
      <c r="D63" s="25">
        <v>101932</v>
      </c>
      <c r="E63" s="25">
        <v>0</v>
      </c>
      <c r="F63" s="47">
        <f>+E63+D63</f>
        <v>101932</v>
      </c>
      <c r="G63" s="25">
        <f>+G62+F63</f>
        <v>187556.69</v>
      </c>
      <c r="H63" s="48">
        <f t="shared" si="9"/>
        <v>-38.477690913759524</v>
      </c>
      <c r="I63" s="25">
        <f>+I62+264752.64</f>
        <v>304859.64</v>
      </c>
      <c r="J63" s="21"/>
    </row>
    <row r="64" spans="2:11" x14ac:dyDescent="0.35">
      <c r="B64" s="40">
        <v>6</v>
      </c>
      <c r="C64" s="38" t="s">
        <v>23</v>
      </c>
      <c r="D64" s="25">
        <v>796239</v>
      </c>
      <c r="E64" s="25">
        <v>0</v>
      </c>
      <c r="F64" s="47">
        <f>+E64+D64</f>
        <v>796239</v>
      </c>
      <c r="G64" s="25">
        <f t="shared" ref="G64" si="10">+G63+F64</f>
        <v>983795.69</v>
      </c>
      <c r="H64" s="48">
        <f t="shared" si="9"/>
        <v>55.82718781031334</v>
      </c>
      <c r="I64" s="25">
        <f>+I63+326478</f>
        <v>631337.64</v>
      </c>
      <c r="J64" s="21"/>
    </row>
    <row r="65" spans="2:11" x14ac:dyDescent="0.35">
      <c r="B65" s="40">
        <v>7</v>
      </c>
      <c r="C65" s="38" t="s">
        <v>24</v>
      </c>
      <c r="D65" s="25">
        <v>444149.01</v>
      </c>
      <c r="E65" s="25">
        <v>400197.5</v>
      </c>
      <c r="F65" s="47">
        <f t="shared" ref="F65:F86" si="11">+E65+D65</f>
        <v>844346.51</v>
      </c>
      <c r="G65" s="25">
        <f>+G64+F65</f>
        <v>1828142.2</v>
      </c>
      <c r="H65" s="48">
        <f t="shared" si="9"/>
        <v>43.458818123120786</v>
      </c>
      <c r="I65" s="25">
        <f>+I64+642994.76</f>
        <v>1274332.3999999999</v>
      </c>
      <c r="J65" s="21"/>
    </row>
    <row r="66" spans="2:11" x14ac:dyDescent="0.35">
      <c r="B66" s="40">
        <v>8</v>
      </c>
      <c r="C66" s="38" t="s">
        <v>25</v>
      </c>
      <c r="D66" s="25">
        <v>1015927.5</v>
      </c>
      <c r="E66" s="25">
        <v>0</v>
      </c>
      <c r="F66" s="47">
        <f t="shared" si="11"/>
        <v>1015927.5</v>
      </c>
      <c r="G66" s="25">
        <f t="shared" ref="G66:G86" si="12">+G65+F66</f>
        <v>2844069.7</v>
      </c>
      <c r="H66" s="48">
        <f t="shared" si="9"/>
        <v>34.460849437489699</v>
      </c>
      <c r="I66" s="25">
        <v>2115165.65</v>
      </c>
      <c r="J66" s="21"/>
    </row>
    <row r="67" spans="2:11" x14ac:dyDescent="0.35">
      <c r="B67" s="40">
        <v>9</v>
      </c>
      <c r="C67" s="38" t="s">
        <v>26</v>
      </c>
      <c r="D67" s="25">
        <v>740476</v>
      </c>
      <c r="E67" s="25">
        <v>0</v>
      </c>
      <c r="F67" s="47">
        <f t="shared" si="11"/>
        <v>740476</v>
      </c>
      <c r="G67" s="25">
        <f t="shared" si="12"/>
        <v>3584545.7</v>
      </c>
      <c r="H67" s="48">
        <f t="shared" si="9"/>
        <v>0.90225309423674138</v>
      </c>
      <c r="I67" s="25">
        <f>+I66+1437327.57</f>
        <v>3552493.2199999997</v>
      </c>
      <c r="J67" s="21"/>
    </row>
    <row r="68" spans="2:11" x14ac:dyDescent="0.35">
      <c r="B68" s="40">
        <v>10</v>
      </c>
      <c r="C68" s="38" t="s">
        <v>62</v>
      </c>
      <c r="D68" s="25">
        <v>1376009.52</v>
      </c>
      <c r="E68" s="25">
        <v>0</v>
      </c>
      <c r="F68" s="47">
        <f t="shared" si="11"/>
        <v>1376009.52</v>
      </c>
      <c r="G68" s="25">
        <f t="shared" si="12"/>
        <v>4960555.2200000007</v>
      </c>
      <c r="H68" s="48">
        <f t="shared" si="9"/>
        <v>-6.0773483780277147</v>
      </c>
      <c r="I68" s="25">
        <f>+I67+1729039.12</f>
        <v>5281532.34</v>
      </c>
      <c r="J68" s="21"/>
    </row>
    <row r="69" spans="2:11" x14ac:dyDescent="0.35">
      <c r="B69" s="40">
        <v>11</v>
      </c>
      <c r="C69" s="38" t="s">
        <v>63</v>
      </c>
      <c r="D69" s="25">
        <v>2321141</v>
      </c>
      <c r="E69" s="25">
        <v>0</v>
      </c>
      <c r="F69" s="47">
        <f t="shared" si="11"/>
        <v>2321141</v>
      </c>
      <c r="G69" s="25">
        <f t="shared" si="12"/>
        <v>7281696.2200000007</v>
      </c>
      <c r="H69" s="48">
        <f t="shared" si="9"/>
        <v>13.738088575799301</v>
      </c>
      <c r="I69" s="25">
        <f>+I68+1120629.25</f>
        <v>6402161.5899999999</v>
      </c>
      <c r="J69" s="21"/>
    </row>
    <row r="70" spans="2:11" x14ac:dyDescent="0.35">
      <c r="B70" s="40">
        <v>12</v>
      </c>
      <c r="C70" s="38" t="s">
        <v>78</v>
      </c>
      <c r="D70" s="25">
        <v>2581471.04</v>
      </c>
      <c r="E70" s="25">
        <v>0</v>
      </c>
      <c r="F70" s="47">
        <f t="shared" si="11"/>
        <v>2581471.04</v>
      </c>
      <c r="G70" s="25">
        <f t="shared" si="12"/>
        <v>9863167.2600000016</v>
      </c>
      <c r="H70" s="48">
        <f>((G70-I70)/I70)*100</f>
        <v>37.411411301045021</v>
      </c>
      <c r="I70" s="25">
        <f>+I69+775675.51</f>
        <v>7177837.0999999996</v>
      </c>
      <c r="J70" s="21"/>
    </row>
    <row r="71" spans="2:11" x14ac:dyDescent="0.35">
      <c r="B71" s="40">
        <v>13</v>
      </c>
      <c r="C71" s="38" t="s">
        <v>64</v>
      </c>
      <c r="D71" s="25">
        <v>1448201.05</v>
      </c>
      <c r="E71" s="25">
        <v>0</v>
      </c>
      <c r="F71" s="47">
        <f t="shared" si="11"/>
        <v>1448201.05</v>
      </c>
      <c r="G71" s="25">
        <f t="shared" si="12"/>
        <v>11311368.310000002</v>
      </c>
      <c r="H71" s="48">
        <f>((G71-I71)/I71)*100</f>
        <v>44.164929786056931</v>
      </c>
      <c r="I71" s="25">
        <v>7846130.3499999996</v>
      </c>
      <c r="J71" s="21"/>
    </row>
    <row r="72" spans="2:11" x14ac:dyDescent="0.35">
      <c r="B72" s="40">
        <v>14</v>
      </c>
      <c r="C72" s="58" t="s">
        <v>65</v>
      </c>
      <c r="D72" s="25">
        <v>286016</v>
      </c>
      <c r="E72" s="25">
        <v>67776.5</v>
      </c>
      <c r="F72" s="47">
        <f t="shared" si="11"/>
        <v>353792.5</v>
      </c>
      <c r="G72" s="25">
        <f t="shared" si="12"/>
        <v>11665160.810000002</v>
      </c>
      <c r="H72" s="48">
        <f>((G72-I72)/I72)*100</f>
        <v>27.608803752765137</v>
      </c>
      <c r="I72" s="25">
        <f>+I71+1295214.5</f>
        <v>9141344.8499999996</v>
      </c>
      <c r="J72" s="21"/>
    </row>
    <row r="73" spans="2:11" x14ac:dyDescent="0.35">
      <c r="B73" s="40">
        <v>15</v>
      </c>
      <c r="C73" s="38" t="s">
        <v>66</v>
      </c>
      <c r="D73" s="25">
        <v>636937</v>
      </c>
      <c r="E73" s="25">
        <v>0</v>
      </c>
      <c r="F73" s="47">
        <f t="shared" si="11"/>
        <v>636937</v>
      </c>
      <c r="G73" s="25">
        <f t="shared" si="12"/>
        <v>12302097.810000002</v>
      </c>
      <c r="H73" s="48">
        <f>((G73-I73)/I73)*100</f>
        <v>24.531160005517336</v>
      </c>
      <c r="I73" s="25">
        <f>+I72+737385.75</f>
        <v>9878730.5999999996</v>
      </c>
      <c r="J73" s="21"/>
    </row>
    <row r="74" spans="2:11" x14ac:dyDescent="0.35">
      <c r="B74" s="40">
        <v>16</v>
      </c>
      <c r="C74" s="38" t="s">
        <v>67</v>
      </c>
      <c r="D74" s="25">
        <v>797584.5</v>
      </c>
      <c r="E74" s="25">
        <v>35132</v>
      </c>
      <c r="F74" s="47">
        <f t="shared" si="11"/>
        <v>832716.5</v>
      </c>
      <c r="G74" s="25">
        <f t="shared" si="12"/>
        <v>13134814.310000002</v>
      </c>
      <c r="H74" s="48">
        <f t="shared" ref="H74:H86" si="13">((G74-I74)/I74)*100</f>
        <v>22.724884032454941</v>
      </c>
      <c r="I74" s="25">
        <v>10702649.6</v>
      </c>
      <c r="J74" s="21"/>
    </row>
    <row r="75" spans="2:11" x14ac:dyDescent="0.35">
      <c r="B75" s="40">
        <v>17</v>
      </c>
      <c r="C75" s="38" t="s">
        <v>68</v>
      </c>
      <c r="D75" s="25">
        <v>420456</v>
      </c>
      <c r="E75" s="25">
        <v>77181.5</v>
      </c>
      <c r="F75" s="47">
        <f t="shared" si="11"/>
        <v>497637.5</v>
      </c>
      <c r="G75" s="25">
        <f t="shared" si="12"/>
        <v>13632451.810000002</v>
      </c>
      <c r="H75" s="48">
        <f t="shared" si="13"/>
        <v>18.932883979913807</v>
      </c>
      <c r="I75" s="25">
        <v>11462306.6</v>
      </c>
      <c r="J75" s="21"/>
    </row>
    <row r="76" spans="2:11" x14ac:dyDescent="0.35">
      <c r="B76" s="40">
        <v>18</v>
      </c>
      <c r="C76" s="38" t="s">
        <v>69</v>
      </c>
      <c r="D76" s="25">
        <v>314257.5</v>
      </c>
      <c r="E76" s="25">
        <v>0</v>
      </c>
      <c r="F76" s="47">
        <f t="shared" si="11"/>
        <v>314257.5</v>
      </c>
      <c r="G76" s="25">
        <f t="shared" si="12"/>
        <v>13946709.310000002</v>
      </c>
      <c r="H76" s="48">
        <f t="shared" si="13"/>
        <v>11.933623013400149</v>
      </c>
      <c r="I76" s="25">
        <f>+I75+997496.75</f>
        <v>12459803.35</v>
      </c>
      <c r="J76" s="21"/>
    </row>
    <row r="77" spans="2:11" x14ac:dyDescent="0.35">
      <c r="B77" s="40">
        <v>19</v>
      </c>
      <c r="C77" s="38" t="s">
        <v>70</v>
      </c>
      <c r="D77" s="25">
        <v>317533</v>
      </c>
      <c r="E77" s="25">
        <v>0</v>
      </c>
      <c r="F77" s="47">
        <f t="shared" si="11"/>
        <v>317533</v>
      </c>
      <c r="G77" s="25">
        <f t="shared" si="12"/>
        <v>14264242.310000002</v>
      </c>
      <c r="H77" s="48">
        <f t="shared" si="13"/>
        <v>9.5926069302655179</v>
      </c>
      <c r="I77" s="25">
        <f>+I76+555894.25</f>
        <v>13015697.6</v>
      </c>
      <c r="J77" s="21"/>
    </row>
    <row r="78" spans="2:11" ht="12.65" customHeight="1" x14ac:dyDescent="0.35">
      <c r="B78" s="40">
        <v>20</v>
      </c>
      <c r="C78" s="38" t="s">
        <v>71</v>
      </c>
      <c r="D78" s="25">
        <v>84067.5</v>
      </c>
      <c r="E78" s="25">
        <v>10850</v>
      </c>
      <c r="F78" s="47">
        <f t="shared" si="11"/>
        <v>94917.5</v>
      </c>
      <c r="G78" s="25">
        <f t="shared" si="12"/>
        <v>14359159.810000002</v>
      </c>
      <c r="H78" s="48">
        <f t="shared" si="13"/>
        <v>3.2337392885870848</v>
      </c>
      <c r="I78" s="25">
        <f>+I77+893669.54</f>
        <v>13909367.140000001</v>
      </c>
      <c r="J78" s="21"/>
    </row>
    <row r="79" spans="2:11" ht="12.65" customHeight="1" x14ac:dyDescent="0.35">
      <c r="B79" s="40">
        <v>21</v>
      </c>
      <c r="C79" s="38" t="s">
        <v>72</v>
      </c>
      <c r="D79" s="25">
        <v>358629.5</v>
      </c>
      <c r="E79" s="25">
        <v>0</v>
      </c>
      <c r="F79" s="47">
        <f t="shared" si="11"/>
        <v>358629.5</v>
      </c>
      <c r="G79" s="25">
        <f t="shared" si="12"/>
        <v>14717789.310000002</v>
      </c>
      <c r="H79" s="48">
        <f t="shared" si="13"/>
        <v>2.9686926617154374</v>
      </c>
      <c r="I79" s="25">
        <f>+I78+384093.26</f>
        <v>14293460.4</v>
      </c>
      <c r="J79" s="21"/>
    </row>
    <row r="80" spans="2:11" x14ac:dyDescent="0.35">
      <c r="B80" s="40">
        <v>22</v>
      </c>
      <c r="C80" s="38" t="s">
        <v>73</v>
      </c>
      <c r="D80" s="25">
        <v>470714</v>
      </c>
      <c r="E80" s="25">
        <v>0</v>
      </c>
      <c r="F80" s="47">
        <f t="shared" si="11"/>
        <v>470714</v>
      </c>
      <c r="G80" s="25">
        <f t="shared" si="12"/>
        <v>15188503.310000002</v>
      </c>
      <c r="H80" s="48">
        <f t="shared" si="13"/>
        <v>4.2363964782628916</v>
      </c>
      <c r="I80" s="25">
        <f>+I79+277748.72</f>
        <v>14571209.120000001</v>
      </c>
      <c r="J80" s="21"/>
      <c r="K80" s="1"/>
    </row>
    <row r="81" spans="2:11" x14ac:dyDescent="0.35">
      <c r="B81" s="40">
        <v>23</v>
      </c>
      <c r="C81" s="38" t="s">
        <v>80</v>
      </c>
      <c r="D81" s="25">
        <v>545344</v>
      </c>
      <c r="E81" s="25">
        <v>0</v>
      </c>
      <c r="F81" s="47">
        <f t="shared" si="11"/>
        <v>545344</v>
      </c>
      <c r="G81" s="25">
        <f t="shared" si="12"/>
        <v>15733847.310000002</v>
      </c>
      <c r="H81" s="48">
        <f t="shared" si="13"/>
        <v>7.316131430906486</v>
      </c>
      <c r="I81" s="25">
        <f>+I80+90004.53</f>
        <v>14661213.65</v>
      </c>
      <c r="J81" s="21"/>
      <c r="K81" s="1"/>
    </row>
    <row r="82" spans="2:11" x14ac:dyDescent="0.35">
      <c r="B82" s="40">
        <v>24</v>
      </c>
      <c r="C82" s="38" t="s">
        <v>75</v>
      </c>
      <c r="D82" s="25">
        <v>214752.3</v>
      </c>
      <c r="E82" s="25">
        <v>0</v>
      </c>
      <c r="F82" s="47">
        <f t="shared" si="11"/>
        <v>214752.3</v>
      </c>
      <c r="G82" s="25">
        <f t="shared" si="12"/>
        <v>15948599.610000003</v>
      </c>
      <c r="H82" s="48">
        <f t="shared" si="13"/>
        <v>8.053822837718517</v>
      </c>
      <c r="I82" s="25">
        <f>+I81+98652.49</f>
        <v>14759866.140000001</v>
      </c>
      <c r="J82" s="21"/>
      <c r="K82" s="1"/>
    </row>
    <row r="83" spans="2:11" x14ac:dyDescent="0.35">
      <c r="B83" s="40">
        <v>25</v>
      </c>
      <c r="C83" s="77" t="s">
        <v>76</v>
      </c>
      <c r="D83" s="25">
        <v>268742.7</v>
      </c>
      <c r="E83" s="25"/>
      <c r="F83" s="47">
        <f t="shared" si="11"/>
        <v>268742.7</v>
      </c>
      <c r="G83" s="25">
        <f t="shared" si="12"/>
        <v>16217342.310000002</v>
      </c>
      <c r="H83" s="48">
        <f t="shared" si="13"/>
        <v>9.874589350442454</v>
      </c>
      <c r="I83" s="25">
        <f>+I82+0</f>
        <v>14759866.140000001</v>
      </c>
      <c r="J83" s="21"/>
      <c r="K83" s="1"/>
    </row>
    <row r="84" spans="2:11" x14ac:dyDescent="0.35">
      <c r="B84" s="111">
        <v>26</v>
      </c>
      <c r="C84" s="112" t="s">
        <v>77</v>
      </c>
      <c r="D84" s="105">
        <v>128.5</v>
      </c>
      <c r="E84" s="106">
        <v>0</v>
      </c>
      <c r="F84" s="107">
        <f t="shared" si="11"/>
        <v>128.5</v>
      </c>
      <c r="G84" s="106">
        <f t="shared" si="12"/>
        <v>16217470.810000002</v>
      </c>
      <c r="H84" s="48">
        <f t="shared" si="13"/>
        <v>9.8754599545440165</v>
      </c>
      <c r="I84" s="25">
        <f>+I83+0</f>
        <v>14759866.140000001</v>
      </c>
      <c r="J84" s="21"/>
      <c r="K84" s="1"/>
    </row>
    <row r="85" spans="2:11" x14ac:dyDescent="0.35">
      <c r="B85" s="111">
        <v>27</v>
      </c>
      <c r="C85" s="77" t="s">
        <v>81</v>
      </c>
      <c r="D85" s="119">
        <v>0</v>
      </c>
      <c r="E85" s="120">
        <v>0</v>
      </c>
      <c r="F85" s="121">
        <f t="shared" si="11"/>
        <v>0</v>
      </c>
      <c r="G85" s="120">
        <f t="shared" si="12"/>
        <v>16217470.810000002</v>
      </c>
      <c r="H85" s="48">
        <f t="shared" si="13"/>
        <v>9.8754599545440165</v>
      </c>
      <c r="I85" s="25">
        <f>+I84+0</f>
        <v>14759866.140000001</v>
      </c>
      <c r="J85" s="21"/>
      <c r="K85" s="1"/>
    </row>
    <row r="86" spans="2:11" x14ac:dyDescent="0.35">
      <c r="B86" s="110">
        <v>28</v>
      </c>
      <c r="C86" s="77" t="s">
        <v>87</v>
      </c>
      <c r="D86" s="108">
        <v>26487</v>
      </c>
      <c r="E86" s="108">
        <v>3241</v>
      </c>
      <c r="F86" s="109">
        <f t="shared" si="11"/>
        <v>29728</v>
      </c>
      <c r="G86" s="109">
        <f t="shared" si="12"/>
        <v>16247198.810000002</v>
      </c>
      <c r="H86" s="48">
        <f t="shared" si="13"/>
        <v>10.076870995254174</v>
      </c>
      <c r="I86" s="25">
        <f>+I85+0</f>
        <v>14759866.140000001</v>
      </c>
      <c r="J86" s="21"/>
      <c r="K86" s="1"/>
    </row>
    <row r="87" spans="2:11" ht="12.65" hidden="1" customHeight="1" x14ac:dyDescent="0.35">
      <c r="B87" s="40">
        <v>29</v>
      </c>
      <c r="C87" s="16" t="s">
        <v>29</v>
      </c>
      <c r="D87" s="23"/>
      <c r="E87" s="23"/>
      <c r="F87" s="24">
        <f t="shared" ref="F87:F100" si="14">+E87+D87</f>
        <v>0</v>
      </c>
      <c r="G87" s="23">
        <f>+G79+F87</f>
        <v>14717789.310000002</v>
      </c>
      <c r="H87" s="11">
        <v>0</v>
      </c>
      <c r="I87" s="25">
        <v>0</v>
      </c>
      <c r="J87" s="21"/>
    </row>
    <row r="88" spans="2:11" ht="12.65" hidden="1" customHeight="1" x14ac:dyDescent="0.35">
      <c r="B88" s="40">
        <v>30</v>
      </c>
      <c r="C88" s="16" t="s">
        <v>30</v>
      </c>
      <c r="D88" s="23"/>
      <c r="E88" s="23"/>
      <c r="F88" s="24">
        <f t="shared" si="14"/>
        <v>0</v>
      </c>
      <c r="G88" s="23">
        <f t="shared" ref="G88:G100" si="15">+G87+F88</f>
        <v>14717789.310000002</v>
      </c>
      <c r="H88" s="11">
        <v>0</v>
      </c>
      <c r="I88" s="25">
        <v>0</v>
      </c>
      <c r="J88" s="21"/>
    </row>
    <row r="89" spans="2:11" hidden="1" x14ac:dyDescent="0.35">
      <c r="B89" s="40">
        <v>31</v>
      </c>
      <c r="C89" s="16" t="s">
        <v>27</v>
      </c>
      <c r="D89" s="23"/>
      <c r="E89" s="23"/>
      <c r="F89" s="24">
        <f t="shared" ref="F89:F95" si="16">+E89+D89</f>
        <v>0</v>
      </c>
      <c r="G89" s="23">
        <f t="shared" ref="G89:G95" si="17">+G88+F89</f>
        <v>14717789.310000002</v>
      </c>
      <c r="H89" s="11">
        <v>0</v>
      </c>
      <c r="I89" s="25">
        <v>0</v>
      </c>
      <c r="J89" s="21"/>
      <c r="K89" s="1"/>
    </row>
    <row r="90" spans="2:11" hidden="1" x14ac:dyDescent="0.35">
      <c r="B90" s="40">
        <v>32</v>
      </c>
      <c r="C90" s="16" t="s">
        <v>28</v>
      </c>
      <c r="D90" s="23"/>
      <c r="E90" s="23"/>
      <c r="F90" s="24">
        <f t="shared" si="16"/>
        <v>0</v>
      </c>
      <c r="G90" s="23">
        <f t="shared" si="17"/>
        <v>14717789.310000002</v>
      </c>
      <c r="H90" s="11">
        <v>0</v>
      </c>
      <c r="I90" s="25">
        <v>0</v>
      </c>
      <c r="J90" s="21"/>
      <c r="K90" s="1"/>
    </row>
    <row r="91" spans="2:11" hidden="1" x14ac:dyDescent="0.35">
      <c r="B91" s="40">
        <v>33</v>
      </c>
      <c r="C91" s="16" t="s">
        <v>29</v>
      </c>
      <c r="D91" s="23"/>
      <c r="E91" s="23"/>
      <c r="F91" s="24">
        <f t="shared" si="16"/>
        <v>0</v>
      </c>
      <c r="G91" s="23">
        <f t="shared" si="17"/>
        <v>14717789.310000002</v>
      </c>
      <c r="H91" s="11">
        <v>0</v>
      </c>
      <c r="I91" s="25">
        <v>0</v>
      </c>
      <c r="J91" s="21"/>
      <c r="K91" s="1"/>
    </row>
    <row r="92" spans="2:11" hidden="1" x14ac:dyDescent="0.35">
      <c r="B92" s="40">
        <v>34</v>
      </c>
      <c r="C92" s="16" t="s">
        <v>30</v>
      </c>
      <c r="D92" s="23"/>
      <c r="E92" s="23"/>
      <c r="F92" s="24">
        <f t="shared" si="16"/>
        <v>0</v>
      </c>
      <c r="G92" s="23">
        <f t="shared" si="17"/>
        <v>14717789.310000002</v>
      </c>
      <c r="H92" s="11">
        <v>0</v>
      </c>
      <c r="I92" s="25">
        <v>0</v>
      </c>
      <c r="J92" s="21"/>
      <c r="K92" s="1"/>
    </row>
    <row r="93" spans="2:11" hidden="1" x14ac:dyDescent="0.35">
      <c r="B93" s="40">
        <v>35</v>
      </c>
      <c r="C93" s="16" t="s">
        <v>31</v>
      </c>
      <c r="D93" s="23"/>
      <c r="E93" s="23"/>
      <c r="F93" s="24">
        <f t="shared" si="16"/>
        <v>0</v>
      </c>
      <c r="G93" s="23">
        <f t="shared" si="17"/>
        <v>14717789.310000002</v>
      </c>
      <c r="H93" s="11">
        <v>0</v>
      </c>
      <c r="I93" s="25">
        <v>0</v>
      </c>
      <c r="J93" s="21"/>
      <c r="K93" s="1"/>
    </row>
    <row r="94" spans="2:11" hidden="1" x14ac:dyDescent="0.35">
      <c r="B94" s="40">
        <v>36</v>
      </c>
      <c r="C94" s="17" t="s">
        <v>32</v>
      </c>
      <c r="D94" s="23"/>
      <c r="E94" s="23"/>
      <c r="F94" s="24">
        <f t="shared" si="16"/>
        <v>0</v>
      </c>
      <c r="G94" s="23">
        <f t="shared" si="17"/>
        <v>14717789.310000002</v>
      </c>
      <c r="H94" s="11">
        <v>0</v>
      </c>
      <c r="I94" s="25">
        <v>0</v>
      </c>
      <c r="J94" s="21"/>
      <c r="K94" s="1"/>
    </row>
    <row r="95" spans="2:11" hidden="1" x14ac:dyDescent="0.35">
      <c r="B95" s="40">
        <v>37</v>
      </c>
      <c r="C95" s="27" t="s">
        <v>33</v>
      </c>
      <c r="D95" s="28"/>
      <c r="E95" s="28"/>
      <c r="F95" s="29">
        <f t="shared" si="16"/>
        <v>0</v>
      </c>
      <c r="G95" s="28">
        <f t="shared" si="17"/>
        <v>14717789.310000002</v>
      </c>
      <c r="H95" s="30">
        <v>0</v>
      </c>
      <c r="I95" s="31">
        <v>0</v>
      </c>
      <c r="J95" s="21"/>
      <c r="K95" s="1"/>
    </row>
    <row r="96" spans="2:11" ht="12.65" hidden="1" customHeight="1" x14ac:dyDescent="0.35">
      <c r="B96" s="40">
        <v>38</v>
      </c>
      <c r="C96" s="16" t="s">
        <v>31</v>
      </c>
      <c r="D96" s="23"/>
      <c r="E96" s="23"/>
      <c r="F96" s="24">
        <f t="shared" si="14"/>
        <v>0</v>
      </c>
      <c r="G96" s="23">
        <f>+G88+F96</f>
        <v>14717789.310000002</v>
      </c>
      <c r="H96" s="11">
        <v>0</v>
      </c>
      <c r="I96" s="25">
        <v>0</v>
      </c>
      <c r="J96" s="21"/>
    </row>
    <row r="97" spans="2:10" ht="12.65" hidden="1" customHeight="1" x14ac:dyDescent="0.35">
      <c r="B97" s="40">
        <v>39</v>
      </c>
      <c r="C97" s="17"/>
      <c r="D97" s="23"/>
      <c r="E97" s="23"/>
      <c r="F97" s="24"/>
      <c r="G97" s="23"/>
      <c r="H97" s="11"/>
      <c r="I97" s="25"/>
      <c r="J97" s="21"/>
    </row>
    <row r="98" spans="2:10" ht="12.65" hidden="1" customHeight="1" x14ac:dyDescent="0.35">
      <c r="B98" s="40">
        <v>40</v>
      </c>
      <c r="C98" s="17"/>
      <c r="D98" s="23"/>
      <c r="E98" s="23"/>
      <c r="F98" s="24"/>
      <c r="G98" s="23"/>
      <c r="H98" s="11"/>
      <c r="I98" s="25"/>
      <c r="J98" s="21"/>
    </row>
    <row r="99" spans="2:10" ht="12.65" hidden="1" customHeight="1" x14ac:dyDescent="0.35">
      <c r="B99" s="40">
        <v>41</v>
      </c>
      <c r="C99" s="17" t="s">
        <v>32</v>
      </c>
      <c r="D99" s="23"/>
      <c r="E99" s="23"/>
      <c r="F99" s="24">
        <f t="shared" si="14"/>
        <v>0</v>
      </c>
      <c r="G99" s="23">
        <f>+G96+F99</f>
        <v>14717789.310000002</v>
      </c>
      <c r="H99" s="11">
        <v>0</v>
      </c>
      <c r="I99" s="25">
        <v>0</v>
      </c>
      <c r="J99" s="21"/>
    </row>
    <row r="100" spans="2:10" ht="12.65" hidden="1" customHeight="1" x14ac:dyDescent="0.35">
      <c r="B100" s="40">
        <v>42</v>
      </c>
      <c r="C100" s="27" t="s">
        <v>33</v>
      </c>
      <c r="D100" s="28"/>
      <c r="E100" s="28"/>
      <c r="F100" s="29">
        <f t="shared" si="14"/>
        <v>0</v>
      </c>
      <c r="G100" s="28">
        <f t="shared" si="15"/>
        <v>14717789.310000002</v>
      </c>
      <c r="H100" s="30">
        <v>0</v>
      </c>
      <c r="I100" s="31">
        <v>0</v>
      </c>
      <c r="J100" s="21"/>
    </row>
    <row r="101" spans="2:10" ht="12.65" customHeight="1" x14ac:dyDescent="0.35">
      <c r="B101" s="5"/>
      <c r="C101" s="5"/>
      <c r="D101" s="6"/>
      <c r="E101" s="6"/>
      <c r="F101" s="6"/>
      <c r="G101" s="6"/>
      <c r="H101" s="7"/>
      <c r="I101" s="6"/>
      <c r="J101" s="5"/>
    </row>
    <row r="102" spans="2:10" x14ac:dyDescent="0.35">
      <c r="B102" s="8" t="s">
        <v>34</v>
      </c>
      <c r="C102" s="5"/>
      <c r="D102" s="5"/>
      <c r="E102" s="5"/>
      <c r="F102" s="5"/>
      <c r="G102" s="5"/>
      <c r="H102" s="5"/>
      <c r="I102" s="5"/>
      <c r="J102" s="5"/>
    </row>
    <row r="103" spans="2:10" x14ac:dyDescent="0.35">
      <c r="B103" s="9" t="s">
        <v>35</v>
      </c>
      <c r="C103" s="5"/>
      <c r="D103" s="5"/>
      <c r="E103" s="5"/>
      <c r="F103" s="5"/>
      <c r="G103" s="5"/>
      <c r="H103" s="5"/>
      <c r="I103" s="5"/>
      <c r="J103" s="5"/>
    </row>
    <row r="104" spans="2:10" x14ac:dyDescent="0.35">
      <c r="B104" s="9" t="s">
        <v>36</v>
      </c>
      <c r="C104" s="5"/>
      <c r="D104" s="5"/>
      <c r="E104" s="5"/>
      <c r="F104" s="5"/>
      <c r="G104" s="5"/>
      <c r="H104" s="5"/>
      <c r="I104" s="5"/>
      <c r="J104" s="5"/>
    </row>
    <row r="105" spans="2:10" x14ac:dyDescent="0.35">
      <c r="B105" s="9" t="s">
        <v>37</v>
      </c>
      <c r="C105" s="5"/>
      <c r="D105" s="5"/>
      <c r="E105" s="5"/>
      <c r="F105" s="5"/>
      <c r="G105" s="5"/>
      <c r="H105" s="5"/>
      <c r="I105" s="5"/>
      <c r="J105" s="5"/>
    </row>
    <row r="106" spans="2:10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0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0" ht="18.5" x14ac:dyDescent="0.45">
      <c r="B108" s="10"/>
      <c r="C108" s="10"/>
      <c r="D108" s="178" t="s">
        <v>40</v>
      </c>
      <c r="E108" s="178"/>
      <c r="F108" s="178"/>
      <c r="G108" s="178"/>
      <c r="H108" s="178"/>
      <c r="I108" s="178"/>
      <c r="J108" s="10"/>
    </row>
    <row r="109" spans="2:10" s="35" customFormat="1" ht="16" x14ac:dyDescent="0.4">
      <c r="B109" s="26"/>
      <c r="C109" s="26"/>
      <c r="D109" s="179" t="s">
        <v>46</v>
      </c>
      <c r="E109" s="179"/>
      <c r="F109" s="179"/>
      <c r="G109" s="179"/>
      <c r="H109" s="179"/>
      <c r="I109" s="179"/>
      <c r="J109" s="26"/>
    </row>
    <row r="110" spans="2:10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0" ht="14.4" customHeight="1" x14ac:dyDescent="0.35">
      <c r="B111" s="14"/>
      <c r="C111" s="15"/>
      <c r="D111" s="174" t="s">
        <v>6</v>
      </c>
      <c r="E111" s="175"/>
      <c r="F111" s="175"/>
      <c r="G111" s="176"/>
      <c r="H111" s="166" t="s">
        <v>7</v>
      </c>
      <c r="I111" s="167"/>
      <c r="J111" s="4"/>
    </row>
    <row r="112" spans="2:10" x14ac:dyDescent="0.35">
      <c r="B112" s="12"/>
      <c r="C112" s="13"/>
      <c r="D112" s="170" t="s">
        <v>9</v>
      </c>
      <c r="E112" s="171"/>
      <c r="F112" s="171"/>
      <c r="G112" s="172"/>
      <c r="H112" s="168"/>
      <c r="I112" s="169"/>
      <c r="J112" s="4"/>
    </row>
    <row r="113" spans="2:10" ht="14.4" customHeight="1" x14ac:dyDescent="0.35">
      <c r="B113" s="133" t="s">
        <v>10</v>
      </c>
      <c r="C113" s="135" t="s">
        <v>11</v>
      </c>
      <c r="D113" s="18" t="s">
        <v>12</v>
      </c>
      <c r="E113" s="18" t="s">
        <v>13</v>
      </c>
      <c r="F113" s="18" t="s">
        <v>14</v>
      </c>
      <c r="G113" s="18" t="s">
        <v>15</v>
      </c>
      <c r="H113" s="161" t="s">
        <v>16</v>
      </c>
      <c r="I113" s="135" t="s">
        <v>17</v>
      </c>
      <c r="J113" s="19"/>
    </row>
    <row r="114" spans="2:10" ht="37.65" customHeight="1" x14ac:dyDescent="0.35">
      <c r="B114" s="134"/>
      <c r="C114" s="136"/>
      <c r="D114" s="163" t="s">
        <v>20</v>
      </c>
      <c r="E114" s="164"/>
      <c r="F114" s="164"/>
      <c r="G114" s="165"/>
      <c r="H114" s="162"/>
      <c r="I114" s="136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e">
        <f t="shared" ref="H115:H119" si="18">((G115-I115)/I115)*100</f>
        <v>#DIV/0!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0</v>
      </c>
      <c r="E116" s="25">
        <v>0</v>
      </c>
      <c r="F116" s="47">
        <f>+E116+D116</f>
        <v>0</v>
      </c>
      <c r="G116" s="25">
        <f>+G115+F116</f>
        <v>0</v>
      </c>
      <c r="H116" s="48" t="e">
        <f t="shared" si="18"/>
        <v>#DIV/0!</v>
      </c>
      <c r="I116" s="25">
        <v>0</v>
      </c>
      <c r="J116" s="21"/>
    </row>
    <row r="117" spans="2:10" x14ac:dyDescent="0.35">
      <c r="B117" s="40">
        <v>6</v>
      </c>
      <c r="C117" s="38" t="s">
        <v>23</v>
      </c>
      <c r="D117" s="25">
        <v>0</v>
      </c>
      <c r="E117" s="25">
        <v>0</v>
      </c>
      <c r="F117" s="47">
        <f>+E117+D117</f>
        <v>0</v>
      </c>
      <c r="G117" s="25">
        <f t="shared" ref="G117" si="19">+G116+F117</f>
        <v>0</v>
      </c>
      <c r="H117" s="48" t="e">
        <f t="shared" si="18"/>
        <v>#DIV/0!</v>
      </c>
      <c r="I117" s="25">
        <v>0</v>
      </c>
      <c r="J117" s="21"/>
    </row>
    <row r="118" spans="2:10" x14ac:dyDescent="0.35">
      <c r="B118" s="40">
        <v>7</v>
      </c>
      <c r="C118" s="38" t="s">
        <v>24</v>
      </c>
      <c r="D118" s="25">
        <v>0</v>
      </c>
      <c r="E118" s="25">
        <v>0</v>
      </c>
      <c r="F118" s="47">
        <f t="shared" ref="F118:F139" si="20">+E118+D118</f>
        <v>0</v>
      </c>
      <c r="G118" s="25">
        <f>+G117+F118</f>
        <v>0</v>
      </c>
      <c r="H118" s="48" t="e">
        <f t="shared" si="18"/>
        <v>#DIV/0!</v>
      </c>
      <c r="I118" s="25">
        <v>0</v>
      </c>
      <c r="J118" s="21"/>
    </row>
    <row r="119" spans="2:10" x14ac:dyDescent="0.35">
      <c r="B119" s="40">
        <v>8</v>
      </c>
      <c r="C119" s="38" t="s">
        <v>25</v>
      </c>
      <c r="D119" s="25">
        <v>0</v>
      </c>
      <c r="E119" s="25">
        <v>0</v>
      </c>
      <c r="F119" s="47">
        <f t="shared" si="20"/>
        <v>0</v>
      </c>
      <c r="G119" s="25">
        <f t="shared" ref="G119:G139" si="21">+G118+F119</f>
        <v>0</v>
      </c>
      <c r="H119" s="48" t="e">
        <f t="shared" si="18"/>
        <v>#DIV/0!</v>
      </c>
      <c r="I119" s="25">
        <v>0</v>
      </c>
      <c r="J119" s="21"/>
    </row>
    <row r="120" spans="2:10" x14ac:dyDescent="0.35">
      <c r="B120" s="40">
        <v>9</v>
      </c>
      <c r="C120" s="38" t="s">
        <v>26</v>
      </c>
      <c r="D120" s="25">
        <v>0</v>
      </c>
      <c r="E120" s="25">
        <v>0</v>
      </c>
      <c r="F120" s="47">
        <f t="shared" si="20"/>
        <v>0</v>
      </c>
      <c r="G120" s="25">
        <f t="shared" si="21"/>
        <v>0</v>
      </c>
      <c r="H120" s="11" t="e">
        <f t="shared" ref="H120:H132" si="22">+H119</f>
        <v>#DIV/0!</v>
      </c>
      <c r="I120" s="25">
        <v>0</v>
      </c>
      <c r="J120" s="21"/>
    </row>
    <row r="121" spans="2:10" x14ac:dyDescent="0.35">
      <c r="B121" s="40">
        <v>10</v>
      </c>
      <c r="C121" s="38" t="s">
        <v>62</v>
      </c>
      <c r="D121" s="25">
        <v>0</v>
      </c>
      <c r="E121" s="25">
        <v>0</v>
      </c>
      <c r="F121" s="47">
        <f t="shared" si="20"/>
        <v>0</v>
      </c>
      <c r="G121" s="25">
        <f t="shared" si="21"/>
        <v>0</v>
      </c>
      <c r="H121" s="11" t="e">
        <f t="shared" si="22"/>
        <v>#DIV/0!</v>
      </c>
      <c r="I121" s="25">
        <v>0</v>
      </c>
      <c r="J121" s="21"/>
    </row>
    <row r="122" spans="2:10" x14ac:dyDescent="0.35">
      <c r="B122" s="40">
        <v>11</v>
      </c>
      <c r="C122" s="38" t="s">
        <v>63</v>
      </c>
      <c r="D122" s="25">
        <v>0</v>
      </c>
      <c r="E122" s="25">
        <v>0</v>
      </c>
      <c r="F122" s="47">
        <f t="shared" si="20"/>
        <v>0</v>
      </c>
      <c r="G122" s="25">
        <f>+G121+F122</f>
        <v>0</v>
      </c>
      <c r="H122" s="11" t="e">
        <f t="shared" si="22"/>
        <v>#DIV/0!</v>
      </c>
      <c r="I122" s="25">
        <v>0</v>
      </c>
      <c r="J122" s="21"/>
    </row>
    <row r="123" spans="2:10" x14ac:dyDescent="0.35">
      <c r="B123" s="40">
        <v>12</v>
      </c>
      <c r="C123" s="38" t="s">
        <v>78</v>
      </c>
      <c r="D123" s="25">
        <v>0</v>
      </c>
      <c r="E123" s="25">
        <v>0</v>
      </c>
      <c r="F123" s="47">
        <f t="shared" si="20"/>
        <v>0</v>
      </c>
      <c r="G123" s="25">
        <f t="shared" si="21"/>
        <v>0</v>
      </c>
      <c r="H123" s="11" t="e">
        <f t="shared" si="22"/>
        <v>#DIV/0!</v>
      </c>
      <c r="I123" s="25">
        <v>0</v>
      </c>
      <c r="J123" s="21"/>
    </row>
    <row r="124" spans="2:10" x14ac:dyDescent="0.35">
      <c r="B124" s="40">
        <v>13</v>
      </c>
      <c r="C124" s="38" t="s">
        <v>64</v>
      </c>
      <c r="D124" s="25">
        <v>2064</v>
      </c>
      <c r="E124" s="25">
        <v>0</v>
      </c>
      <c r="F124" s="47">
        <f t="shared" si="20"/>
        <v>2064</v>
      </c>
      <c r="G124" s="25">
        <f t="shared" si="21"/>
        <v>2064</v>
      </c>
      <c r="H124" s="11" t="e">
        <f t="shared" si="22"/>
        <v>#DIV/0!</v>
      </c>
      <c r="I124" s="25">
        <v>0</v>
      </c>
      <c r="J124" s="21"/>
    </row>
    <row r="125" spans="2:10" x14ac:dyDescent="0.35">
      <c r="B125" s="40">
        <v>14</v>
      </c>
      <c r="C125" s="58" t="s">
        <v>65</v>
      </c>
      <c r="D125" s="25">
        <v>1739</v>
      </c>
      <c r="E125" s="25">
        <v>0</v>
      </c>
      <c r="F125" s="47">
        <f t="shared" si="20"/>
        <v>1739</v>
      </c>
      <c r="G125" s="25">
        <f t="shared" si="21"/>
        <v>3803</v>
      </c>
      <c r="H125" s="11" t="e">
        <f t="shared" si="22"/>
        <v>#DIV/0!</v>
      </c>
      <c r="I125" s="25">
        <v>0</v>
      </c>
      <c r="J125" s="21"/>
    </row>
    <row r="126" spans="2:10" x14ac:dyDescent="0.35">
      <c r="B126" s="40">
        <v>15</v>
      </c>
      <c r="C126" s="38" t="s">
        <v>66</v>
      </c>
      <c r="D126" s="25">
        <v>0</v>
      </c>
      <c r="E126" s="25">
        <v>0</v>
      </c>
      <c r="F126" s="47">
        <f t="shared" si="20"/>
        <v>0</v>
      </c>
      <c r="G126" s="25">
        <f t="shared" si="21"/>
        <v>3803</v>
      </c>
      <c r="H126" s="11" t="e">
        <f t="shared" si="22"/>
        <v>#DIV/0!</v>
      </c>
      <c r="I126" s="25">
        <v>0</v>
      </c>
      <c r="J126" s="21"/>
    </row>
    <row r="127" spans="2:10" x14ac:dyDescent="0.35">
      <c r="B127" s="40">
        <v>16</v>
      </c>
      <c r="C127" s="38" t="s">
        <v>67</v>
      </c>
      <c r="D127" s="25">
        <v>0</v>
      </c>
      <c r="E127" s="25">
        <v>0</v>
      </c>
      <c r="F127" s="47">
        <f t="shared" si="20"/>
        <v>0</v>
      </c>
      <c r="G127" s="25">
        <f t="shared" si="21"/>
        <v>3803</v>
      </c>
      <c r="H127" s="11" t="e">
        <f t="shared" si="22"/>
        <v>#DIV/0!</v>
      </c>
      <c r="I127" s="25">
        <v>0</v>
      </c>
      <c r="J127" s="21"/>
    </row>
    <row r="128" spans="2:10" x14ac:dyDescent="0.35">
      <c r="B128" s="40">
        <v>17</v>
      </c>
      <c r="C128" s="38" t="s">
        <v>68</v>
      </c>
      <c r="D128" s="25">
        <v>0</v>
      </c>
      <c r="E128" s="25">
        <v>0</v>
      </c>
      <c r="F128" s="47">
        <f t="shared" si="20"/>
        <v>0</v>
      </c>
      <c r="G128" s="25">
        <f t="shared" si="21"/>
        <v>3803</v>
      </c>
      <c r="H128" s="11" t="e">
        <f t="shared" si="22"/>
        <v>#DIV/0!</v>
      </c>
      <c r="I128" s="25">
        <v>0</v>
      </c>
      <c r="J128" s="21"/>
    </row>
    <row r="129" spans="2:11" x14ac:dyDescent="0.35">
      <c r="B129" s="40">
        <v>18</v>
      </c>
      <c r="C129" s="38" t="s">
        <v>69</v>
      </c>
      <c r="D129" s="25">
        <v>0</v>
      </c>
      <c r="E129" s="25">
        <v>0</v>
      </c>
      <c r="F129" s="47">
        <f t="shared" si="20"/>
        <v>0</v>
      </c>
      <c r="G129" s="25">
        <f t="shared" si="21"/>
        <v>3803</v>
      </c>
      <c r="H129" s="11" t="e">
        <f t="shared" si="22"/>
        <v>#DIV/0!</v>
      </c>
      <c r="I129" s="25">
        <v>0</v>
      </c>
      <c r="J129" s="21"/>
    </row>
    <row r="130" spans="2:11" x14ac:dyDescent="0.35">
      <c r="B130" s="40">
        <v>19</v>
      </c>
      <c r="C130" s="38" t="s">
        <v>70</v>
      </c>
      <c r="D130" s="25">
        <v>15557</v>
      </c>
      <c r="E130" s="25">
        <v>0</v>
      </c>
      <c r="F130" s="47">
        <f t="shared" si="20"/>
        <v>15557</v>
      </c>
      <c r="G130" s="25">
        <f t="shared" si="21"/>
        <v>19360</v>
      </c>
      <c r="H130" s="11" t="e">
        <f t="shared" si="22"/>
        <v>#DIV/0!</v>
      </c>
      <c r="I130" s="25">
        <v>0</v>
      </c>
      <c r="J130" s="21"/>
    </row>
    <row r="131" spans="2:11" x14ac:dyDescent="0.35">
      <c r="B131" s="40">
        <v>20</v>
      </c>
      <c r="C131" s="38" t="s">
        <v>71</v>
      </c>
      <c r="D131" s="25">
        <v>0</v>
      </c>
      <c r="E131" s="25">
        <v>0</v>
      </c>
      <c r="F131" s="47">
        <f t="shared" si="20"/>
        <v>0</v>
      </c>
      <c r="G131" s="25">
        <f t="shared" si="21"/>
        <v>19360</v>
      </c>
      <c r="H131" s="11" t="e">
        <f t="shared" si="22"/>
        <v>#DIV/0!</v>
      </c>
      <c r="I131" s="25">
        <v>0</v>
      </c>
      <c r="J131" s="21"/>
    </row>
    <row r="132" spans="2:11" x14ac:dyDescent="0.35">
      <c r="B132" s="40">
        <v>21</v>
      </c>
      <c r="C132" s="38" t="s">
        <v>72</v>
      </c>
      <c r="D132" s="25">
        <v>0</v>
      </c>
      <c r="E132" s="25">
        <v>0</v>
      </c>
      <c r="F132" s="47">
        <f t="shared" si="20"/>
        <v>0</v>
      </c>
      <c r="G132" s="25">
        <f t="shared" si="21"/>
        <v>19360</v>
      </c>
      <c r="H132" s="11" t="e">
        <f t="shared" si="22"/>
        <v>#DIV/0!</v>
      </c>
      <c r="I132" s="25">
        <v>0</v>
      </c>
      <c r="J132" s="21"/>
    </row>
    <row r="133" spans="2:11" x14ac:dyDescent="0.35">
      <c r="B133" s="40">
        <v>22</v>
      </c>
      <c r="C133" s="38" t="s">
        <v>73</v>
      </c>
      <c r="D133" s="25">
        <v>0</v>
      </c>
      <c r="E133" s="25">
        <v>0</v>
      </c>
      <c r="F133" s="47">
        <f t="shared" si="20"/>
        <v>0</v>
      </c>
      <c r="G133" s="25">
        <f t="shared" si="21"/>
        <v>19360</v>
      </c>
      <c r="H133" s="11" t="e">
        <f>+H132</f>
        <v>#DIV/0!</v>
      </c>
      <c r="I133" s="25">
        <f>+I132+0</f>
        <v>0</v>
      </c>
      <c r="J133" s="21"/>
    </row>
    <row r="134" spans="2:11" x14ac:dyDescent="0.35">
      <c r="B134" s="40">
        <v>23</v>
      </c>
      <c r="C134" s="38" t="s">
        <v>80</v>
      </c>
      <c r="D134" s="25">
        <v>0</v>
      </c>
      <c r="E134" s="25">
        <v>0</v>
      </c>
      <c r="F134" s="47">
        <f t="shared" si="20"/>
        <v>0</v>
      </c>
      <c r="G134" s="25">
        <f t="shared" si="21"/>
        <v>19360</v>
      </c>
      <c r="H134" s="11" t="e">
        <f>+H133</f>
        <v>#DIV/0!</v>
      </c>
      <c r="I134" s="25">
        <v>0</v>
      </c>
      <c r="J134" s="21"/>
    </row>
    <row r="135" spans="2:11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20"/>
        <v>0</v>
      </c>
      <c r="G135" s="25">
        <f t="shared" si="21"/>
        <v>19360</v>
      </c>
      <c r="H135" s="48" t="e">
        <f t="shared" ref="H135:H139" si="23">((G135-I135)/I135)*100</f>
        <v>#DIV/0!</v>
      </c>
      <c r="I135" s="25">
        <v>0</v>
      </c>
      <c r="J135" s="21"/>
    </row>
    <row r="136" spans="2:11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20"/>
        <v>0</v>
      </c>
      <c r="G136" s="25">
        <f t="shared" si="21"/>
        <v>19360</v>
      </c>
      <c r="H136" s="48" t="e">
        <f t="shared" si="23"/>
        <v>#DIV/0!</v>
      </c>
      <c r="I136" s="25">
        <f>+I135+0</f>
        <v>0</v>
      </c>
      <c r="J136" s="21"/>
      <c r="K136" s="1"/>
    </row>
    <row r="137" spans="2:11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20"/>
        <v>0</v>
      </c>
      <c r="G137" s="106">
        <f t="shared" si="21"/>
        <v>19360</v>
      </c>
      <c r="H137" s="48" t="e">
        <f t="shared" si="23"/>
        <v>#DIV/0!</v>
      </c>
      <c r="I137" s="25">
        <f>+I136+0</f>
        <v>0</v>
      </c>
      <c r="J137" s="21"/>
      <c r="K137" s="1"/>
    </row>
    <row r="138" spans="2:11" ht="12.65" customHeight="1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20"/>
        <v>0</v>
      </c>
      <c r="G138" s="120">
        <f t="shared" si="21"/>
        <v>19360</v>
      </c>
      <c r="H138" s="48" t="e">
        <f t="shared" si="23"/>
        <v>#DIV/0!</v>
      </c>
      <c r="I138" s="25">
        <f>+I137+0</f>
        <v>0</v>
      </c>
      <c r="J138" s="21"/>
    </row>
    <row r="139" spans="2:11" ht="12.65" customHeight="1" x14ac:dyDescent="0.35">
      <c r="B139" s="110">
        <v>28</v>
      </c>
      <c r="C139" s="77" t="s">
        <v>87</v>
      </c>
      <c r="D139" s="108">
        <v>0</v>
      </c>
      <c r="E139" s="108">
        <v>0</v>
      </c>
      <c r="F139" s="109">
        <f t="shared" si="20"/>
        <v>0</v>
      </c>
      <c r="G139" s="109">
        <f t="shared" si="21"/>
        <v>19360</v>
      </c>
      <c r="H139" s="48" t="e">
        <f t="shared" si="23"/>
        <v>#DIV/0!</v>
      </c>
      <c r="I139" s="25">
        <f>+I138+0</f>
        <v>0</v>
      </c>
      <c r="J139" s="21"/>
    </row>
    <row r="140" spans="2:11" hidden="1" x14ac:dyDescent="0.35">
      <c r="B140" s="40">
        <v>29</v>
      </c>
      <c r="C140" s="16" t="s">
        <v>27</v>
      </c>
      <c r="D140" s="23"/>
      <c r="E140" s="23"/>
      <c r="F140" s="24">
        <f t="shared" ref="F140:F153" si="24">+E140+D140</f>
        <v>0</v>
      </c>
      <c r="G140" s="23">
        <f t="shared" ref="G140:G146" si="25">+G139+F140</f>
        <v>19360</v>
      </c>
      <c r="H140" s="11">
        <v>0</v>
      </c>
      <c r="I140" s="25">
        <v>0</v>
      </c>
      <c r="J140" s="21"/>
      <c r="K140" s="1"/>
    </row>
    <row r="141" spans="2:11" hidden="1" x14ac:dyDescent="0.35">
      <c r="B141" s="40">
        <v>30</v>
      </c>
      <c r="C141" s="16" t="s">
        <v>28</v>
      </c>
      <c r="D141" s="23"/>
      <c r="E141" s="23"/>
      <c r="F141" s="24">
        <f t="shared" si="24"/>
        <v>0</v>
      </c>
      <c r="G141" s="23">
        <f t="shared" si="25"/>
        <v>19360</v>
      </c>
      <c r="H141" s="11">
        <v>0</v>
      </c>
      <c r="I141" s="25">
        <v>0</v>
      </c>
      <c r="J141" s="21"/>
      <c r="K141" s="1"/>
    </row>
    <row r="142" spans="2:11" hidden="1" x14ac:dyDescent="0.35">
      <c r="B142" s="40">
        <v>31</v>
      </c>
      <c r="C142" s="16" t="s">
        <v>29</v>
      </c>
      <c r="D142" s="23"/>
      <c r="E142" s="23"/>
      <c r="F142" s="24">
        <f t="shared" si="24"/>
        <v>0</v>
      </c>
      <c r="G142" s="23">
        <f t="shared" si="25"/>
        <v>19360</v>
      </c>
      <c r="H142" s="11">
        <v>0</v>
      </c>
      <c r="I142" s="25">
        <v>0</v>
      </c>
      <c r="J142" s="21"/>
      <c r="K142" s="1"/>
    </row>
    <row r="143" spans="2:11" hidden="1" x14ac:dyDescent="0.35">
      <c r="B143" s="40">
        <v>32</v>
      </c>
      <c r="C143" s="16" t="s">
        <v>30</v>
      </c>
      <c r="D143" s="23"/>
      <c r="E143" s="23"/>
      <c r="F143" s="24">
        <f t="shared" si="24"/>
        <v>0</v>
      </c>
      <c r="G143" s="23">
        <f t="shared" si="25"/>
        <v>19360</v>
      </c>
      <c r="H143" s="11">
        <v>0</v>
      </c>
      <c r="I143" s="25">
        <v>0</v>
      </c>
      <c r="J143" s="21"/>
      <c r="K143" s="1"/>
    </row>
    <row r="144" spans="2:11" hidden="1" x14ac:dyDescent="0.35">
      <c r="B144" s="40">
        <v>33</v>
      </c>
      <c r="C144" s="16" t="s">
        <v>31</v>
      </c>
      <c r="D144" s="23"/>
      <c r="E144" s="23"/>
      <c r="F144" s="24">
        <f t="shared" si="24"/>
        <v>0</v>
      </c>
      <c r="G144" s="23">
        <f t="shared" si="25"/>
        <v>19360</v>
      </c>
      <c r="H144" s="11">
        <v>0</v>
      </c>
      <c r="I144" s="25">
        <v>0</v>
      </c>
      <c r="J144" s="21"/>
      <c r="K144" s="1"/>
    </row>
    <row r="145" spans="2:11" hidden="1" x14ac:dyDescent="0.35">
      <c r="B145" s="40">
        <v>34</v>
      </c>
      <c r="C145" s="17" t="s">
        <v>32</v>
      </c>
      <c r="D145" s="23"/>
      <c r="E145" s="23"/>
      <c r="F145" s="24">
        <f t="shared" si="24"/>
        <v>0</v>
      </c>
      <c r="G145" s="23">
        <f t="shared" si="25"/>
        <v>19360</v>
      </c>
      <c r="H145" s="11">
        <v>0</v>
      </c>
      <c r="I145" s="25">
        <v>0</v>
      </c>
      <c r="J145" s="21"/>
      <c r="K145" s="1"/>
    </row>
    <row r="146" spans="2:11" hidden="1" x14ac:dyDescent="0.35">
      <c r="B146" s="40">
        <v>35</v>
      </c>
      <c r="C146" s="27" t="s">
        <v>33</v>
      </c>
      <c r="D146" s="28"/>
      <c r="E146" s="28"/>
      <c r="F146" s="29">
        <f t="shared" si="24"/>
        <v>0</v>
      </c>
      <c r="G146" s="28">
        <f t="shared" si="25"/>
        <v>19360</v>
      </c>
      <c r="H146" s="30">
        <v>0</v>
      </c>
      <c r="I146" s="31">
        <v>0</v>
      </c>
      <c r="J146" s="21"/>
      <c r="K146" s="1"/>
    </row>
    <row r="147" spans="2:11" ht="12.65" hidden="1" customHeight="1" x14ac:dyDescent="0.35">
      <c r="B147" s="40">
        <v>36</v>
      </c>
      <c r="C147" s="16" t="s">
        <v>31</v>
      </c>
      <c r="D147" s="23"/>
      <c r="E147" s="23"/>
      <c r="F147" s="24">
        <f t="shared" si="24"/>
        <v>0</v>
      </c>
      <c r="G147" s="23">
        <f>+G139+F147</f>
        <v>19360</v>
      </c>
      <c r="H147" s="11">
        <v>0</v>
      </c>
      <c r="I147" s="25">
        <v>0</v>
      </c>
      <c r="J147" s="21"/>
    </row>
    <row r="148" spans="2:11" ht="12.65" hidden="1" customHeight="1" x14ac:dyDescent="0.35">
      <c r="B148" s="40">
        <v>37</v>
      </c>
      <c r="C148" s="17"/>
      <c r="D148" s="23"/>
      <c r="E148" s="23"/>
      <c r="F148" s="24"/>
      <c r="G148" s="23"/>
      <c r="H148" s="11"/>
      <c r="I148" s="25"/>
      <c r="J148" s="21"/>
    </row>
    <row r="149" spans="2:11" ht="12.65" hidden="1" customHeight="1" x14ac:dyDescent="0.35">
      <c r="B149" s="40">
        <v>38</v>
      </c>
      <c r="C149" s="17"/>
      <c r="D149" s="23"/>
      <c r="E149" s="23"/>
      <c r="F149" s="24"/>
      <c r="G149" s="23"/>
      <c r="H149" s="11"/>
      <c r="I149" s="25"/>
      <c r="J149" s="21"/>
    </row>
    <row r="150" spans="2:11" ht="12.65" hidden="1" customHeight="1" x14ac:dyDescent="0.35">
      <c r="B150" s="40">
        <v>39</v>
      </c>
      <c r="C150" s="17" t="s">
        <v>32</v>
      </c>
      <c r="D150" s="23"/>
      <c r="E150" s="23"/>
      <c r="F150" s="24">
        <f t="shared" ref="F150:F151" si="26">+E150+D150</f>
        <v>0</v>
      </c>
      <c r="G150" s="23">
        <f>+G147+F150</f>
        <v>19360</v>
      </c>
      <c r="H150" s="11">
        <v>0</v>
      </c>
      <c r="I150" s="25">
        <v>0</v>
      </c>
      <c r="J150" s="21"/>
    </row>
    <row r="151" spans="2:11" ht="12.65" hidden="1" customHeight="1" x14ac:dyDescent="0.35">
      <c r="B151" s="40">
        <v>40</v>
      </c>
      <c r="C151" s="27" t="s">
        <v>33</v>
      </c>
      <c r="D151" s="28"/>
      <c r="E151" s="28"/>
      <c r="F151" s="29">
        <f t="shared" si="26"/>
        <v>0</v>
      </c>
      <c r="G151" s="28">
        <f t="shared" ref="G151" si="27">+G150+F151</f>
        <v>19360</v>
      </c>
      <c r="H151" s="30">
        <v>0</v>
      </c>
      <c r="I151" s="31">
        <v>0</v>
      </c>
      <c r="J151" s="21"/>
    </row>
    <row r="152" spans="2:11" hidden="1" x14ac:dyDescent="0.35">
      <c r="B152" s="40">
        <v>41</v>
      </c>
      <c r="C152" s="17" t="s">
        <v>32</v>
      </c>
      <c r="D152" s="23"/>
      <c r="E152" s="23"/>
      <c r="F152" s="24">
        <f t="shared" si="24"/>
        <v>0</v>
      </c>
      <c r="G152" s="23">
        <f>+G135+F152</f>
        <v>19360</v>
      </c>
      <c r="H152" s="11">
        <v>0</v>
      </c>
      <c r="I152" s="25">
        <v>0</v>
      </c>
      <c r="J152" s="21"/>
    </row>
    <row r="153" spans="2:11" hidden="1" x14ac:dyDescent="0.35">
      <c r="B153" s="40">
        <v>42</v>
      </c>
      <c r="C153" s="27" t="s">
        <v>33</v>
      </c>
      <c r="D153" s="28"/>
      <c r="E153" s="28"/>
      <c r="F153" s="29">
        <f t="shared" si="24"/>
        <v>0</v>
      </c>
      <c r="G153" s="28">
        <f t="shared" ref="G153" si="28">+G152+F153</f>
        <v>19360</v>
      </c>
      <c r="H153" s="30">
        <v>0</v>
      </c>
      <c r="I153" s="31">
        <v>0</v>
      </c>
      <c r="J153" s="21"/>
    </row>
    <row r="154" spans="2:11" x14ac:dyDescent="0.35">
      <c r="B154" s="5"/>
      <c r="C154" s="5"/>
      <c r="D154" s="6"/>
      <c r="E154" s="6"/>
      <c r="F154" s="6"/>
      <c r="G154" s="6"/>
      <c r="H154" s="7"/>
      <c r="I154" s="6"/>
      <c r="J154" s="5"/>
    </row>
    <row r="155" spans="2:11" x14ac:dyDescent="0.35">
      <c r="B155" s="8" t="s">
        <v>34</v>
      </c>
      <c r="C155" s="5"/>
      <c r="D155" s="5"/>
      <c r="E155" s="5"/>
      <c r="F155" s="5"/>
      <c r="G155" s="5"/>
      <c r="H155" s="5"/>
      <c r="I155" s="5"/>
      <c r="J155" s="5"/>
    </row>
    <row r="156" spans="2:11" x14ac:dyDescent="0.35">
      <c r="B156" s="9" t="s">
        <v>35</v>
      </c>
      <c r="C156" s="5"/>
      <c r="D156" s="5"/>
      <c r="E156" s="5"/>
      <c r="F156" s="5"/>
      <c r="G156" s="5"/>
      <c r="H156" s="5"/>
      <c r="I156" s="5"/>
      <c r="J156" s="5"/>
    </row>
    <row r="157" spans="2:11" x14ac:dyDescent="0.35">
      <c r="B157" s="9" t="s">
        <v>36</v>
      </c>
      <c r="C157" s="5"/>
      <c r="D157" s="5"/>
      <c r="E157" s="5"/>
      <c r="F157" s="5"/>
      <c r="G157" s="5"/>
      <c r="H157" s="5"/>
      <c r="I157" s="5"/>
      <c r="J157" s="5"/>
    </row>
    <row r="158" spans="2:11" x14ac:dyDescent="0.35">
      <c r="B158" s="9" t="s">
        <v>37</v>
      </c>
      <c r="C158" s="5"/>
      <c r="D158" s="5"/>
      <c r="E158" s="5"/>
      <c r="F158" s="5"/>
      <c r="G158" s="5"/>
      <c r="H158" s="5"/>
      <c r="I158" s="5"/>
      <c r="J158" s="5"/>
    </row>
    <row r="161" spans="2:10" ht="18.5" x14ac:dyDescent="0.45">
      <c r="B161" s="10"/>
      <c r="C161" s="10"/>
      <c r="D161" s="173" t="s">
        <v>41</v>
      </c>
      <c r="E161" s="173"/>
      <c r="F161" s="173"/>
      <c r="G161" s="173"/>
      <c r="H161" s="173"/>
      <c r="I161" s="173"/>
      <c r="J161" s="10"/>
    </row>
    <row r="162" spans="2:10" s="35" customFormat="1" ht="16" x14ac:dyDescent="0.4">
      <c r="B162" s="26"/>
      <c r="C162" s="26"/>
      <c r="D162" s="177" t="s">
        <v>46</v>
      </c>
      <c r="E162" s="177"/>
      <c r="F162" s="177"/>
      <c r="G162" s="177"/>
      <c r="H162" s="177"/>
      <c r="I162" s="177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74" t="s">
        <v>6</v>
      </c>
      <c r="E164" s="175"/>
      <c r="F164" s="175"/>
      <c r="G164" s="176"/>
      <c r="H164" s="166" t="s">
        <v>7</v>
      </c>
      <c r="I164" s="167"/>
      <c r="J164" s="4"/>
    </row>
    <row r="165" spans="2:10" x14ac:dyDescent="0.35">
      <c r="B165" s="12"/>
      <c r="C165" s="13"/>
      <c r="D165" s="170" t="s">
        <v>9</v>
      </c>
      <c r="E165" s="171"/>
      <c r="F165" s="171"/>
      <c r="G165" s="172"/>
      <c r="H165" s="168"/>
      <c r="I165" s="169"/>
      <c r="J165" s="4"/>
    </row>
    <row r="166" spans="2:10" ht="14.4" customHeight="1" x14ac:dyDescent="0.35">
      <c r="B166" s="133" t="s">
        <v>10</v>
      </c>
      <c r="C166" s="135" t="s">
        <v>11</v>
      </c>
      <c r="D166" s="18" t="s">
        <v>12</v>
      </c>
      <c r="E166" s="18" t="s">
        <v>13</v>
      </c>
      <c r="F166" s="18" t="s">
        <v>14</v>
      </c>
      <c r="G166" s="18" t="s">
        <v>15</v>
      </c>
      <c r="H166" s="161" t="s">
        <v>16</v>
      </c>
      <c r="I166" s="135" t="s">
        <v>17</v>
      </c>
      <c r="J166" s="19"/>
    </row>
    <row r="167" spans="2:10" ht="39" customHeight="1" x14ac:dyDescent="0.35">
      <c r="B167" s="134"/>
      <c r="C167" s="136"/>
      <c r="D167" s="163" t="s">
        <v>20</v>
      </c>
      <c r="E167" s="164"/>
      <c r="F167" s="164"/>
      <c r="G167" s="165"/>
      <c r="H167" s="162"/>
      <c r="I167" s="136"/>
      <c r="J167" s="19"/>
    </row>
    <row r="168" spans="2:10" x14ac:dyDescent="0.35">
      <c r="B168" s="40">
        <v>4</v>
      </c>
      <c r="C168" s="38" t="s">
        <v>21</v>
      </c>
      <c r="D168" s="20">
        <v>31342.01</v>
      </c>
      <c r="E168" s="20">
        <v>0</v>
      </c>
      <c r="F168" s="43">
        <f>+D168+E168</f>
        <v>31342.01</v>
      </c>
      <c r="G168" s="20">
        <f>+F168</f>
        <v>31342.01</v>
      </c>
      <c r="H168" s="44" t="e">
        <f t="shared" ref="H168:H191" si="29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63398.03</v>
      </c>
      <c r="E169" s="25">
        <v>0</v>
      </c>
      <c r="F169" s="47">
        <f>+E169+D169</f>
        <v>63398.03</v>
      </c>
      <c r="G169" s="25">
        <f>+G168+F169</f>
        <v>94740.04</v>
      </c>
      <c r="H169" s="48">
        <f t="shared" si="29"/>
        <v>-29.5186004902599</v>
      </c>
      <c r="I169" s="25">
        <v>134418.5</v>
      </c>
      <c r="J169" s="21"/>
    </row>
    <row r="170" spans="2:10" x14ac:dyDescent="0.35">
      <c r="B170" s="40">
        <v>6</v>
      </c>
      <c r="C170" s="38" t="s">
        <v>23</v>
      </c>
      <c r="D170" s="25">
        <v>100463.52</v>
      </c>
      <c r="E170" s="25">
        <v>0</v>
      </c>
      <c r="F170" s="47">
        <f>+E170+D170</f>
        <v>100463.52</v>
      </c>
      <c r="G170" s="25">
        <f t="shared" ref="G170" si="30">+G169+F170</f>
        <v>195203.56</v>
      </c>
      <c r="H170" s="48">
        <f t="shared" si="29"/>
        <v>6.1006950066673173</v>
      </c>
      <c r="I170" s="25">
        <f>+I169+49561.03</f>
        <v>183979.53</v>
      </c>
      <c r="J170" s="21"/>
    </row>
    <row r="171" spans="2:10" x14ac:dyDescent="0.35">
      <c r="B171" s="40">
        <v>7</v>
      </c>
      <c r="C171" s="38" t="s">
        <v>24</v>
      </c>
      <c r="D171" s="25">
        <v>126018.58</v>
      </c>
      <c r="E171" s="25">
        <v>0</v>
      </c>
      <c r="F171" s="47">
        <f t="shared" ref="F171:F191" si="31">+E171+D171</f>
        <v>126018.58</v>
      </c>
      <c r="G171" s="25">
        <f>+G170+F171</f>
        <v>321222.14</v>
      </c>
      <c r="H171" s="48">
        <f t="shared" si="29"/>
        <v>23.663724992063674</v>
      </c>
      <c r="I171" s="25">
        <f>+I170+75775.01</f>
        <v>259754.53999999998</v>
      </c>
      <c r="J171" s="21"/>
    </row>
    <row r="172" spans="2:10" x14ac:dyDescent="0.35">
      <c r="B172" s="40">
        <v>8</v>
      </c>
      <c r="C172" s="38" t="s">
        <v>25</v>
      </c>
      <c r="D172" s="25">
        <v>75478.509999999995</v>
      </c>
      <c r="E172" s="25">
        <v>0</v>
      </c>
      <c r="F172" s="47">
        <f t="shared" si="31"/>
        <v>75478.509999999995</v>
      </c>
      <c r="G172" s="25">
        <f t="shared" ref="G172:G191" si="32">+G171+F172</f>
        <v>396700.65</v>
      </c>
      <c r="H172" s="48">
        <f t="shared" si="29"/>
        <v>10.344795070691626</v>
      </c>
      <c r="I172" s="25">
        <v>359510.07</v>
      </c>
      <c r="J172" s="21"/>
    </row>
    <row r="173" spans="2:10" x14ac:dyDescent="0.35">
      <c r="B173" s="40">
        <v>9</v>
      </c>
      <c r="C173" s="38" t="s">
        <v>26</v>
      </c>
      <c r="D173" s="25">
        <v>122822.01</v>
      </c>
      <c r="E173" s="25">
        <v>0</v>
      </c>
      <c r="F173" s="47">
        <f t="shared" si="31"/>
        <v>122822.01</v>
      </c>
      <c r="G173" s="25">
        <f t="shared" si="32"/>
        <v>519522.66000000003</v>
      </c>
      <c r="H173" s="48">
        <f t="shared" si="29"/>
        <v>14.723010557346896</v>
      </c>
      <c r="I173" s="25">
        <f>+I172+93339.5</f>
        <v>452849.57</v>
      </c>
      <c r="J173" s="21"/>
    </row>
    <row r="174" spans="2:10" x14ac:dyDescent="0.35">
      <c r="B174" s="40">
        <v>10</v>
      </c>
      <c r="C174" s="38" t="s">
        <v>62</v>
      </c>
      <c r="D174" s="25">
        <v>28329</v>
      </c>
      <c r="E174" s="25">
        <v>0</v>
      </c>
      <c r="F174" s="47">
        <f t="shared" si="31"/>
        <v>28329</v>
      </c>
      <c r="G174" s="25">
        <f t="shared" si="32"/>
        <v>547851.66</v>
      </c>
      <c r="H174" s="48">
        <f t="shared" si="29"/>
        <v>-2.3625413193576117</v>
      </c>
      <c r="I174" s="25">
        <f>+I173+108258.5</f>
        <v>561108.07000000007</v>
      </c>
      <c r="J174" s="21"/>
    </row>
    <row r="175" spans="2:10" x14ac:dyDescent="0.35">
      <c r="B175" s="40">
        <v>11</v>
      </c>
      <c r="C175" s="38" t="s">
        <v>63</v>
      </c>
      <c r="D175" s="25">
        <v>97574.52</v>
      </c>
      <c r="E175" s="25">
        <v>0</v>
      </c>
      <c r="F175" s="47">
        <f t="shared" si="31"/>
        <v>97574.52</v>
      </c>
      <c r="G175" s="25">
        <f t="shared" si="32"/>
        <v>645426.18000000005</v>
      </c>
      <c r="H175" s="48">
        <f t="shared" si="29"/>
        <v>13.328481394804554</v>
      </c>
      <c r="I175" s="25">
        <f>+I174+8410</f>
        <v>569518.07000000007</v>
      </c>
      <c r="J175" s="21"/>
    </row>
    <row r="176" spans="2:10" x14ac:dyDescent="0.35">
      <c r="B176" s="40">
        <v>12</v>
      </c>
      <c r="C176" s="38" t="s">
        <v>78</v>
      </c>
      <c r="D176" s="25">
        <v>3777.51</v>
      </c>
      <c r="E176" s="25">
        <v>0</v>
      </c>
      <c r="F176" s="47">
        <f t="shared" si="31"/>
        <v>3777.51</v>
      </c>
      <c r="G176" s="25">
        <f t="shared" si="32"/>
        <v>649203.69000000006</v>
      </c>
      <c r="H176" s="48">
        <f t="shared" si="29"/>
        <v>12.570397063462169</v>
      </c>
      <c r="I176" s="25">
        <f>+I175+7191</f>
        <v>576709.07000000007</v>
      </c>
      <c r="J176" s="21"/>
    </row>
    <row r="177" spans="2:11" x14ac:dyDescent="0.35">
      <c r="B177" s="40">
        <v>13</v>
      </c>
      <c r="C177" s="38" t="s">
        <v>64</v>
      </c>
      <c r="D177" s="25">
        <v>0</v>
      </c>
      <c r="E177" s="25">
        <v>0</v>
      </c>
      <c r="F177" s="47">
        <f t="shared" si="31"/>
        <v>0</v>
      </c>
      <c r="G177" s="25">
        <f t="shared" si="32"/>
        <v>649203.69000000006</v>
      </c>
      <c r="H177" s="48">
        <f t="shared" si="29"/>
        <v>12.570397063462192</v>
      </c>
      <c r="I177" s="25">
        <v>576709.06999999995</v>
      </c>
      <c r="J177" s="21"/>
    </row>
    <row r="178" spans="2:11" x14ac:dyDescent="0.35">
      <c r="B178" s="40">
        <v>14</v>
      </c>
      <c r="C178" s="58" t="s">
        <v>65</v>
      </c>
      <c r="D178" s="25">
        <v>6085</v>
      </c>
      <c r="E178" s="25">
        <v>0</v>
      </c>
      <c r="F178" s="47">
        <f t="shared" si="31"/>
        <v>6085</v>
      </c>
      <c r="G178" s="25">
        <f t="shared" si="32"/>
        <v>655288.69000000006</v>
      </c>
      <c r="H178" s="48">
        <f t="shared" si="29"/>
        <v>13.625521790389064</v>
      </c>
      <c r="I178" s="25">
        <f>+I177+0</f>
        <v>576709.06999999995</v>
      </c>
      <c r="J178" s="21"/>
    </row>
    <row r="179" spans="2:11" x14ac:dyDescent="0.35">
      <c r="B179" s="40">
        <v>15</v>
      </c>
      <c r="C179" s="38" t="s">
        <v>66</v>
      </c>
      <c r="D179" s="25">
        <v>0</v>
      </c>
      <c r="E179" s="25">
        <v>0</v>
      </c>
      <c r="F179" s="47">
        <f t="shared" si="31"/>
        <v>0</v>
      </c>
      <c r="G179" s="25">
        <f t="shared" si="32"/>
        <v>655288.69000000006</v>
      </c>
      <c r="H179" s="48">
        <f t="shared" si="29"/>
        <v>13.625521790389064</v>
      </c>
      <c r="I179" s="25">
        <f>+I178+0</f>
        <v>576709.06999999995</v>
      </c>
      <c r="J179" s="21"/>
    </row>
    <row r="180" spans="2:11" x14ac:dyDescent="0.35">
      <c r="B180" s="40">
        <v>16</v>
      </c>
      <c r="C180" s="38" t="s">
        <v>67</v>
      </c>
      <c r="D180" s="25">
        <v>0</v>
      </c>
      <c r="E180" s="25">
        <v>0</v>
      </c>
      <c r="F180" s="47">
        <f t="shared" si="31"/>
        <v>0</v>
      </c>
      <c r="G180" s="25">
        <f t="shared" si="32"/>
        <v>655288.69000000006</v>
      </c>
      <c r="H180" s="48">
        <f t="shared" si="29"/>
        <v>13.625521790389064</v>
      </c>
      <c r="I180" s="25">
        <v>576709.06999999995</v>
      </c>
      <c r="J180" s="21"/>
    </row>
    <row r="181" spans="2:11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31"/>
        <v>0</v>
      </c>
      <c r="G181" s="25">
        <f t="shared" si="32"/>
        <v>655288.69000000006</v>
      </c>
      <c r="H181" s="48">
        <f t="shared" si="29"/>
        <v>13.625521790389064</v>
      </c>
      <c r="I181" s="25">
        <v>576709.06999999995</v>
      </c>
      <c r="J181" s="21"/>
    </row>
    <row r="182" spans="2:11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31"/>
        <v>0</v>
      </c>
      <c r="G182" s="25">
        <f t="shared" si="32"/>
        <v>655288.69000000006</v>
      </c>
      <c r="H182" s="48">
        <f t="shared" si="29"/>
        <v>13.625521790389064</v>
      </c>
      <c r="I182" s="25">
        <f t="shared" ref="I182:I187" si="33">+I181+0</f>
        <v>576709.06999999995</v>
      </c>
      <c r="J182" s="21"/>
    </row>
    <row r="183" spans="2:11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31"/>
        <v>0</v>
      </c>
      <c r="G183" s="25">
        <f t="shared" si="32"/>
        <v>655288.69000000006</v>
      </c>
      <c r="H183" s="48">
        <f t="shared" si="29"/>
        <v>13.625521790389064</v>
      </c>
      <c r="I183" s="25">
        <f t="shared" si="33"/>
        <v>576709.06999999995</v>
      </c>
      <c r="J183" s="21"/>
    </row>
    <row r="184" spans="2:11" x14ac:dyDescent="0.35">
      <c r="B184" s="40">
        <v>20</v>
      </c>
      <c r="C184" s="38" t="s">
        <v>71</v>
      </c>
      <c r="D184" s="25">
        <v>0</v>
      </c>
      <c r="E184" s="25">
        <v>0</v>
      </c>
      <c r="F184" s="47">
        <f t="shared" si="31"/>
        <v>0</v>
      </c>
      <c r="G184" s="25">
        <f t="shared" si="32"/>
        <v>655288.69000000006</v>
      </c>
      <c r="H184" s="48">
        <f t="shared" si="29"/>
        <v>13.625521790389064</v>
      </c>
      <c r="I184" s="25">
        <f t="shared" si="33"/>
        <v>576709.06999999995</v>
      </c>
      <c r="J184" s="21"/>
    </row>
    <row r="185" spans="2:11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31"/>
        <v>0</v>
      </c>
      <c r="G185" s="25">
        <f t="shared" si="32"/>
        <v>655288.69000000006</v>
      </c>
      <c r="H185" s="48">
        <f t="shared" si="29"/>
        <v>13.625521790389064</v>
      </c>
      <c r="I185" s="25">
        <f t="shared" si="33"/>
        <v>576709.06999999995</v>
      </c>
      <c r="J185" s="21"/>
    </row>
    <row r="186" spans="2:11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31"/>
        <v>0</v>
      </c>
      <c r="G186" s="25">
        <f t="shared" si="32"/>
        <v>655288.69000000006</v>
      </c>
      <c r="H186" s="48">
        <f t="shared" si="29"/>
        <v>13.625521790389064</v>
      </c>
      <c r="I186" s="25">
        <f t="shared" si="33"/>
        <v>576709.06999999995</v>
      </c>
      <c r="J186" s="21"/>
    </row>
    <row r="187" spans="2:11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31"/>
        <v>0</v>
      </c>
      <c r="G187" s="25">
        <f t="shared" si="32"/>
        <v>655288.69000000006</v>
      </c>
      <c r="H187" s="48">
        <f t="shared" si="29"/>
        <v>13.625521790389064</v>
      </c>
      <c r="I187" s="25">
        <f t="shared" si="33"/>
        <v>576709.06999999995</v>
      </c>
      <c r="J187" s="21"/>
    </row>
    <row r="188" spans="2:11" x14ac:dyDescent="0.35">
      <c r="B188" s="40">
        <v>25</v>
      </c>
      <c r="C188" s="77" t="s">
        <v>76</v>
      </c>
      <c r="D188" s="25">
        <v>0</v>
      </c>
      <c r="E188" s="25">
        <v>0</v>
      </c>
      <c r="F188" s="47">
        <f t="shared" si="31"/>
        <v>0</v>
      </c>
      <c r="G188" s="25">
        <f t="shared" si="32"/>
        <v>655288.69000000006</v>
      </c>
      <c r="H188" s="48">
        <f t="shared" si="29"/>
        <v>13.625521790389064</v>
      </c>
      <c r="I188" s="25">
        <f>+I187+0</f>
        <v>576709.06999999995</v>
      </c>
      <c r="J188" s="21"/>
    </row>
    <row r="189" spans="2:11" x14ac:dyDescent="0.35">
      <c r="B189" s="111">
        <v>26</v>
      </c>
      <c r="C189" s="112" t="s">
        <v>77</v>
      </c>
      <c r="D189" s="105">
        <v>0</v>
      </c>
      <c r="E189" s="106">
        <v>0</v>
      </c>
      <c r="F189" s="107">
        <f t="shared" si="31"/>
        <v>0</v>
      </c>
      <c r="G189" s="106">
        <f t="shared" si="32"/>
        <v>655288.69000000006</v>
      </c>
      <c r="H189" s="48">
        <f t="shared" si="29"/>
        <v>13.625521790389064</v>
      </c>
      <c r="I189" s="25">
        <f>+I188+0</f>
        <v>576709.06999999995</v>
      </c>
      <c r="J189" s="21"/>
      <c r="K189" s="1"/>
    </row>
    <row r="190" spans="2:11" x14ac:dyDescent="0.35">
      <c r="B190" s="111">
        <v>27</v>
      </c>
      <c r="C190" s="77" t="s">
        <v>81</v>
      </c>
      <c r="D190" s="119">
        <v>0</v>
      </c>
      <c r="E190" s="120">
        <v>0</v>
      </c>
      <c r="F190" s="121">
        <f t="shared" si="31"/>
        <v>0</v>
      </c>
      <c r="G190" s="120">
        <f t="shared" si="32"/>
        <v>655288.69000000006</v>
      </c>
      <c r="H190" s="48">
        <f t="shared" si="29"/>
        <v>13.625521790389064</v>
      </c>
      <c r="I190" s="25">
        <f>+I189+0</f>
        <v>576709.06999999995</v>
      </c>
      <c r="J190" s="21"/>
      <c r="K190" s="1"/>
    </row>
    <row r="191" spans="2:11" ht="12.65" customHeight="1" x14ac:dyDescent="0.35">
      <c r="B191" s="110">
        <v>28</v>
      </c>
      <c r="C191" s="77" t="s">
        <v>87</v>
      </c>
      <c r="D191" s="108">
        <v>0</v>
      </c>
      <c r="E191" s="108">
        <v>0</v>
      </c>
      <c r="F191" s="109">
        <f t="shared" si="31"/>
        <v>0</v>
      </c>
      <c r="G191" s="109">
        <f t="shared" si="32"/>
        <v>655288.69000000006</v>
      </c>
      <c r="H191" s="48">
        <f t="shared" si="29"/>
        <v>13.625521790389064</v>
      </c>
      <c r="I191" s="25">
        <f>+I190+0</f>
        <v>576709.06999999995</v>
      </c>
      <c r="J191" s="21"/>
    </row>
    <row r="192" spans="2:11" ht="12.65" hidden="1" customHeight="1" x14ac:dyDescent="0.35">
      <c r="B192" s="40">
        <v>28</v>
      </c>
      <c r="C192" s="16" t="s">
        <v>30</v>
      </c>
      <c r="D192" s="23"/>
      <c r="E192" s="23"/>
      <c r="F192" s="24">
        <f t="shared" ref="F192:F206" si="34">+E192+D192</f>
        <v>0</v>
      </c>
      <c r="G192" s="23">
        <f t="shared" ref="G192:G199" si="35">+G191+F192</f>
        <v>655288.69000000006</v>
      </c>
      <c r="H192" s="11">
        <v>0</v>
      </c>
      <c r="I192" s="25">
        <v>0</v>
      </c>
      <c r="J192" s="21"/>
    </row>
    <row r="193" spans="2:11" hidden="1" x14ac:dyDescent="0.35">
      <c r="B193" s="40">
        <v>29</v>
      </c>
      <c r="C193" s="16" t="s">
        <v>27</v>
      </c>
      <c r="D193" s="23"/>
      <c r="E193" s="23"/>
      <c r="F193" s="24">
        <f t="shared" si="34"/>
        <v>0</v>
      </c>
      <c r="G193" s="23">
        <f t="shared" si="35"/>
        <v>655288.69000000006</v>
      </c>
      <c r="H193" s="11">
        <v>0</v>
      </c>
      <c r="I193" s="25">
        <v>0</v>
      </c>
      <c r="J193" s="21"/>
      <c r="K193" s="1"/>
    </row>
    <row r="194" spans="2:11" hidden="1" x14ac:dyDescent="0.35">
      <c r="B194" s="40">
        <v>30</v>
      </c>
      <c r="C194" s="16" t="s">
        <v>28</v>
      </c>
      <c r="D194" s="23"/>
      <c r="E194" s="23"/>
      <c r="F194" s="24">
        <f t="shared" si="34"/>
        <v>0</v>
      </c>
      <c r="G194" s="23">
        <f t="shared" si="35"/>
        <v>655288.69000000006</v>
      </c>
      <c r="H194" s="11">
        <v>0</v>
      </c>
      <c r="I194" s="25">
        <v>0</v>
      </c>
      <c r="J194" s="21"/>
      <c r="K194" s="1"/>
    </row>
    <row r="195" spans="2:11" hidden="1" x14ac:dyDescent="0.35">
      <c r="B195" s="40">
        <v>31</v>
      </c>
      <c r="C195" s="16" t="s">
        <v>29</v>
      </c>
      <c r="D195" s="23"/>
      <c r="E195" s="23"/>
      <c r="F195" s="24">
        <f t="shared" si="34"/>
        <v>0</v>
      </c>
      <c r="G195" s="23">
        <f t="shared" si="35"/>
        <v>655288.69000000006</v>
      </c>
      <c r="H195" s="11">
        <v>0</v>
      </c>
      <c r="I195" s="25">
        <v>0</v>
      </c>
      <c r="J195" s="21"/>
      <c r="K195" s="1"/>
    </row>
    <row r="196" spans="2:11" hidden="1" x14ac:dyDescent="0.35">
      <c r="B196" s="40">
        <v>32</v>
      </c>
      <c r="C196" s="16" t="s">
        <v>30</v>
      </c>
      <c r="D196" s="23"/>
      <c r="E196" s="23"/>
      <c r="F196" s="24">
        <f t="shared" si="34"/>
        <v>0</v>
      </c>
      <c r="G196" s="23">
        <f t="shared" si="35"/>
        <v>655288.69000000006</v>
      </c>
      <c r="H196" s="11">
        <v>0</v>
      </c>
      <c r="I196" s="25">
        <v>0</v>
      </c>
      <c r="J196" s="21"/>
      <c r="K196" s="1"/>
    </row>
    <row r="197" spans="2:11" hidden="1" x14ac:dyDescent="0.35">
      <c r="B197" s="40">
        <v>33</v>
      </c>
      <c r="C197" s="16" t="s">
        <v>31</v>
      </c>
      <c r="D197" s="23"/>
      <c r="E197" s="23"/>
      <c r="F197" s="24">
        <f t="shared" si="34"/>
        <v>0</v>
      </c>
      <c r="G197" s="23">
        <f t="shared" si="35"/>
        <v>655288.69000000006</v>
      </c>
      <c r="H197" s="11">
        <v>0</v>
      </c>
      <c r="I197" s="25">
        <v>0</v>
      </c>
      <c r="J197" s="21"/>
      <c r="K197" s="1"/>
    </row>
    <row r="198" spans="2:11" hidden="1" x14ac:dyDescent="0.35">
      <c r="B198" s="40">
        <v>34</v>
      </c>
      <c r="C198" s="17" t="s">
        <v>32</v>
      </c>
      <c r="D198" s="23"/>
      <c r="E198" s="23"/>
      <c r="F198" s="24">
        <f t="shared" si="34"/>
        <v>0</v>
      </c>
      <c r="G198" s="23">
        <f t="shared" si="35"/>
        <v>655288.69000000006</v>
      </c>
      <c r="H198" s="11">
        <v>0</v>
      </c>
      <c r="I198" s="25">
        <v>0</v>
      </c>
      <c r="J198" s="21"/>
      <c r="K198" s="1"/>
    </row>
    <row r="199" spans="2:11" hidden="1" x14ac:dyDescent="0.35">
      <c r="B199" s="40">
        <v>35</v>
      </c>
      <c r="C199" s="27" t="s">
        <v>33</v>
      </c>
      <c r="D199" s="28"/>
      <c r="E199" s="28"/>
      <c r="F199" s="29">
        <f t="shared" si="34"/>
        <v>0</v>
      </c>
      <c r="G199" s="28">
        <f t="shared" si="35"/>
        <v>655288.69000000006</v>
      </c>
      <c r="H199" s="30">
        <v>0</v>
      </c>
      <c r="I199" s="31">
        <v>0</v>
      </c>
      <c r="J199" s="21"/>
      <c r="K199" s="1"/>
    </row>
    <row r="200" spans="2:11" ht="12.65" hidden="1" customHeight="1" x14ac:dyDescent="0.35">
      <c r="B200" s="40">
        <v>36</v>
      </c>
      <c r="C200" s="16" t="s">
        <v>31</v>
      </c>
      <c r="D200" s="23"/>
      <c r="E200" s="23"/>
      <c r="F200" s="24">
        <f t="shared" si="34"/>
        <v>0</v>
      </c>
      <c r="G200" s="23">
        <f>+G192+F200</f>
        <v>655288.69000000006</v>
      </c>
      <c r="H200" s="11">
        <v>0</v>
      </c>
      <c r="I200" s="25">
        <v>0</v>
      </c>
      <c r="J200" s="21"/>
    </row>
    <row r="201" spans="2:11" ht="12.65" hidden="1" customHeight="1" x14ac:dyDescent="0.35">
      <c r="B201" s="40">
        <v>37</v>
      </c>
      <c r="C201" s="17"/>
      <c r="D201" s="23"/>
      <c r="E201" s="23"/>
      <c r="F201" s="24"/>
      <c r="G201" s="23"/>
      <c r="H201" s="11"/>
      <c r="I201" s="25"/>
      <c r="J201" s="21"/>
    </row>
    <row r="202" spans="2:11" ht="12.65" hidden="1" customHeight="1" x14ac:dyDescent="0.35">
      <c r="B202" s="40">
        <v>38</v>
      </c>
      <c r="C202" s="17"/>
      <c r="D202" s="23"/>
      <c r="E202" s="23"/>
      <c r="F202" s="24"/>
      <c r="G202" s="23"/>
      <c r="H202" s="11"/>
      <c r="I202" s="25"/>
      <c r="J202" s="21"/>
    </row>
    <row r="203" spans="2:11" ht="12.65" hidden="1" customHeight="1" x14ac:dyDescent="0.35">
      <c r="B203" s="40">
        <v>39</v>
      </c>
      <c r="C203" s="17" t="s">
        <v>32</v>
      </c>
      <c r="D203" s="23"/>
      <c r="E203" s="23"/>
      <c r="F203" s="24">
        <f t="shared" ref="F203:F204" si="36">+E203+D203</f>
        <v>0</v>
      </c>
      <c r="G203" s="23">
        <f>+G200+F203</f>
        <v>655288.69000000006</v>
      </c>
      <c r="H203" s="11">
        <v>0</v>
      </c>
      <c r="I203" s="25">
        <v>0</v>
      </c>
      <c r="J203" s="21"/>
    </row>
    <row r="204" spans="2:11" ht="12.65" hidden="1" customHeight="1" x14ac:dyDescent="0.35">
      <c r="B204" s="40">
        <v>40</v>
      </c>
      <c r="C204" s="27" t="s">
        <v>33</v>
      </c>
      <c r="D204" s="28"/>
      <c r="E204" s="28"/>
      <c r="F204" s="29">
        <f t="shared" si="36"/>
        <v>0</v>
      </c>
      <c r="G204" s="28">
        <f t="shared" ref="G204" si="37">+G203+F204</f>
        <v>655288.69000000006</v>
      </c>
      <c r="H204" s="30">
        <v>0</v>
      </c>
      <c r="I204" s="31">
        <v>0</v>
      </c>
      <c r="J204" s="21"/>
    </row>
    <row r="205" spans="2:11" hidden="1" x14ac:dyDescent="0.35">
      <c r="B205" s="40">
        <v>41</v>
      </c>
      <c r="C205" s="17" t="s">
        <v>32</v>
      </c>
      <c r="D205" s="23"/>
      <c r="E205" s="23"/>
      <c r="F205" s="24">
        <f t="shared" si="34"/>
        <v>0</v>
      </c>
      <c r="G205" s="23">
        <f>+G188+F205</f>
        <v>655288.69000000006</v>
      </c>
      <c r="H205" s="11">
        <v>0</v>
      </c>
      <c r="I205" s="25">
        <v>0</v>
      </c>
      <c r="J205" s="21"/>
    </row>
    <row r="206" spans="2:11" hidden="1" x14ac:dyDescent="0.35">
      <c r="B206" s="40">
        <v>42</v>
      </c>
      <c r="C206" s="27" t="s">
        <v>33</v>
      </c>
      <c r="D206" s="28"/>
      <c r="E206" s="28"/>
      <c r="F206" s="29">
        <f t="shared" si="34"/>
        <v>0</v>
      </c>
      <c r="G206" s="28">
        <f t="shared" ref="G206" si="38">+G205+F206</f>
        <v>655288.69000000006</v>
      </c>
      <c r="H206" s="30">
        <v>0</v>
      </c>
      <c r="I206" s="31">
        <v>0</v>
      </c>
      <c r="J206" s="21"/>
    </row>
    <row r="207" spans="2:11" x14ac:dyDescent="0.35">
      <c r="B207" s="5"/>
      <c r="C207" s="5"/>
      <c r="D207" s="6"/>
      <c r="E207" s="6"/>
      <c r="F207" s="6"/>
      <c r="G207" s="6"/>
      <c r="H207" s="7"/>
      <c r="I207" s="6"/>
      <c r="J207" s="5"/>
    </row>
    <row r="208" spans="2:11" x14ac:dyDescent="0.35">
      <c r="B208" s="8" t="s">
        <v>34</v>
      </c>
      <c r="C208" s="5"/>
      <c r="D208" s="5"/>
      <c r="E208" s="5"/>
      <c r="F208" s="5"/>
      <c r="G208" s="5"/>
      <c r="H208" s="5"/>
      <c r="I208" s="5"/>
      <c r="J208" s="5"/>
    </row>
    <row r="209" spans="2:10" x14ac:dyDescent="0.35">
      <c r="B209" s="9" t="s">
        <v>35</v>
      </c>
      <c r="C209" s="5"/>
      <c r="D209" s="5"/>
      <c r="E209" s="5"/>
      <c r="F209" s="5"/>
      <c r="G209" s="5"/>
      <c r="H209" s="5"/>
      <c r="I209" s="5"/>
      <c r="J209" s="5"/>
    </row>
    <row r="210" spans="2:10" x14ac:dyDescent="0.35">
      <c r="B210" s="9" t="s">
        <v>36</v>
      </c>
      <c r="C210" s="5"/>
      <c r="D210" s="5"/>
      <c r="E210" s="5"/>
      <c r="F210" s="5"/>
      <c r="G210" s="5"/>
      <c r="H210" s="5"/>
      <c r="I210" s="5"/>
      <c r="J210" s="5"/>
    </row>
    <row r="211" spans="2:10" x14ac:dyDescent="0.35">
      <c r="B211" s="9" t="s">
        <v>37</v>
      </c>
      <c r="C211" s="5"/>
      <c r="D211" s="5"/>
      <c r="E211" s="5"/>
      <c r="F211" s="5"/>
      <c r="G211" s="5"/>
      <c r="H211" s="5"/>
      <c r="I211" s="5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211"/>
  <sheetViews>
    <sheetView zoomScale="80" zoomScaleNormal="80" workbookViewId="0">
      <selection activeCell="S21" sqref="S21"/>
    </sheetView>
  </sheetViews>
  <sheetFormatPr defaultColWidth="9" defaultRowHeight="14.5" x14ac:dyDescent="0.35"/>
  <cols>
    <col min="1" max="1" width="2" style="3" customWidth="1"/>
    <col min="2" max="2" width="7.5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2" customFormat="1" ht="18.5" x14ac:dyDescent="0.45">
      <c r="B3" s="33"/>
      <c r="C3" s="33"/>
      <c r="D3" s="182" t="s">
        <v>47</v>
      </c>
      <c r="E3" s="182"/>
      <c r="F3" s="182"/>
      <c r="G3" s="182"/>
      <c r="H3" s="182"/>
      <c r="I3" s="182"/>
      <c r="J3" s="33"/>
      <c r="K3" s="34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74" t="s">
        <v>6</v>
      </c>
      <c r="E5" s="175"/>
      <c r="F5" s="175"/>
      <c r="G5" s="176"/>
      <c r="H5" s="166" t="s">
        <v>7</v>
      </c>
      <c r="I5" s="167"/>
      <c r="J5" s="4"/>
      <c r="K5" s="1"/>
      <c r="L5" s="2"/>
    </row>
    <row r="6" spans="2:12" x14ac:dyDescent="0.35">
      <c r="B6" s="12"/>
      <c r="C6" s="13"/>
      <c r="D6" s="170" t="s">
        <v>9</v>
      </c>
      <c r="E6" s="171"/>
      <c r="F6" s="171"/>
      <c r="G6" s="172"/>
      <c r="H6" s="168"/>
      <c r="I6" s="169"/>
      <c r="J6" s="4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61" t="s">
        <v>16</v>
      </c>
      <c r="I7" s="135" t="s">
        <v>17</v>
      </c>
      <c r="J7" s="19"/>
      <c r="K7" s="1"/>
      <c r="L7" s="2"/>
    </row>
    <row r="8" spans="2:12" ht="33" customHeight="1" x14ac:dyDescent="0.35">
      <c r="B8" s="134"/>
      <c r="C8" s="136"/>
      <c r="D8" s="163" t="s">
        <v>20</v>
      </c>
      <c r="E8" s="164"/>
      <c r="F8" s="164"/>
      <c r="G8" s="165"/>
      <c r="H8" s="162"/>
      <c r="I8" s="136"/>
      <c r="J8" s="19"/>
      <c r="K8" s="1"/>
    </row>
    <row r="9" spans="2:12" x14ac:dyDescent="0.35">
      <c r="B9" s="40">
        <v>4</v>
      </c>
      <c r="C9" s="38" t="s">
        <v>21</v>
      </c>
      <c r="D9" s="20">
        <v>0</v>
      </c>
      <c r="E9" s="20">
        <v>0</v>
      </c>
      <c r="F9" s="43">
        <f>+D9+E9</f>
        <v>0</v>
      </c>
      <c r="G9" s="20">
        <f>+F9</f>
        <v>0</v>
      </c>
      <c r="H9" s="48" t="e">
        <f t="shared" ref="H9:H16" si="0">((G9-I9)/I9)*100</f>
        <v>#DIV/0!</v>
      </c>
      <c r="I9" s="20">
        <v>0</v>
      </c>
      <c r="J9" s="21"/>
      <c r="K9" s="1"/>
    </row>
    <row r="10" spans="2:12" x14ac:dyDescent="0.35">
      <c r="B10" s="40">
        <v>5</v>
      </c>
      <c r="C10" s="38" t="s">
        <v>22</v>
      </c>
      <c r="D10" s="25">
        <v>245586</v>
      </c>
      <c r="E10" s="25">
        <v>0</v>
      </c>
      <c r="F10" s="47">
        <f>+E10+D10</f>
        <v>245586</v>
      </c>
      <c r="G10" s="25">
        <f>+G9+F10</f>
        <v>245586</v>
      </c>
      <c r="H10" s="48">
        <f t="shared" si="0"/>
        <v>381.03184863086142</v>
      </c>
      <c r="I10" s="25">
        <v>51054</v>
      </c>
      <c r="J10" s="21"/>
      <c r="K10" s="1"/>
    </row>
    <row r="11" spans="2:12" x14ac:dyDescent="0.35">
      <c r="B11" s="40">
        <v>6</v>
      </c>
      <c r="C11" s="38" t="s">
        <v>23</v>
      </c>
      <c r="D11" s="25">
        <v>312835.90000000002</v>
      </c>
      <c r="E11" s="25">
        <v>0</v>
      </c>
      <c r="F11" s="47">
        <f>+E11+D11</f>
        <v>312835.90000000002</v>
      </c>
      <c r="G11" s="25">
        <f t="shared" ref="G11:G19" si="1">+G10+F11</f>
        <v>558421.9</v>
      </c>
      <c r="H11" s="48">
        <f t="shared" si="0"/>
        <v>31.059264205255548</v>
      </c>
      <c r="I11" s="25">
        <f>+I10+375029.5</f>
        <v>426083.5</v>
      </c>
      <c r="J11" s="21"/>
      <c r="K11" s="1"/>
    </row>
    <row r="12" spans="2:12" x14ac:dyDescent="0.35">
      <c r="B12" s="40">
        <v>7</v>
      </c>
      <c r="C12" s="38" t="s">
        <v>24</v>
      </c>
      <c r="D12" s="25">
        <v>309034</v>
      </c>
      <c r="E12" s="25">
        <v>217067</v>
      </c>
      <c r="F12" s="47">
        <f t="shared" ref="F12:F33" si="2">+E12+D12</f>
        <v>526101</v>
      </c>
      <c r="G12" s="25">
        <f>+G11+F12</f>
        <v>1084522.8999999999</v>
      </c>
      <c r="H12" s="48">
        <f t="shared" si="0"/>
        <v>40.323195859615062</v>
      </c>
      <c r="I12" s="25">
        <f>+I11+346791.5</f>
        <v>772875</v>
      </c>
      <c r="J12" s="21"/>
      <c r="K12" s="1"/>
    </row>
    <row r="13" spans="2:12" x14ac:dyDescent="0.35">
      <c r="B13" s="40">
        <v>8</v>
      </c>
      <c r="C13" s="38" t="s">
        <v>25</v>
      </c>
      <c r="D13" s="25">
        <v>480779</v>
      </c>
      <c r="E13" s="25">
        <v>0</v>
      </c>
      <c r="F13" s="47">
        <f t="shared" si="2"/>
        <v>480779</v>
      </c>
      <c r="G13" s="25">
        <f t="shared" si="1"/>
        <v>1565301.9</v>
      </c>
      <c r="H13" s="48">
        <f t="shared" si="0"/>
        <v>16.74030701626814</v>
      </c>
      <c r="I13" s="25">
        <v>1340841</v>
      </c>
      <c r="J13" s="21"/>
      <c r="K13" s="1"/>
    </row>
    <row r="14" spans="2:12" x14ac:dyDescent="0.35">
      <c r="B14" s="40">
        <v>9</v>
      </c>
      <c r="C14" s="38" t="s">
        <v>26</v>
      </c>
      <c r="D14" s="25">
        <v>230527</v>
      </c>
      <c r="E14" s="25">
        <v>0</v>
      </c>
      <c r="F14" s="47">
        <f t="shared" si="2"/>
        <v>230527</v>
      </c>
      <c r="G14" s="25">
        <f t="shared" si="1"/>
        <v>1795828.9</v>
      </c>
      <c r="H14" s="48">
        <f t="shared" si="0"/>
        <v>12.294681564846659</v>
      </c>
      <c r="I14" s="25">
        <f>+I13+258370</f>
        <v>1599211</v>
      </c>
      <c r="J14" s="21"/>
      <c r="K14" s="1"/>
    </row>
    <row r="15" spans="2:12" x14ac:dyDescent="0.35">
      <c r="B15" s="40">
        <v>10</v>
      </c>
      <c r="C15" s="38" t="s">
        <v>62</v>
      </c>
      <c r="D15" s="25">
        <v>441354</v>
      </c>
      <c r="E15" s="25">
        <v>0</v>
      </c>
      <c r="F15" s="47">
        <f t="shared" si="2"/>
        <v>441354</v>
      </c>
      <c r="G15" s="25">
        <f t="shared" si="1"/>
        <v>2237182.9</v>
      </c>
      <c r="H15" s="48">
        <f t="shared" si="0"/>
        <v>2.8619870051378471</v>
      </c>
      <c r="I15" s="25">
        <f>+I14+575725.5</f>
        <v>2174936.5</v>
      </c>
      <c r="J15" s="21"/>
      <c r="K15" s="1"/>
    </row>
    <row r="16" spans="2:12" x14ac:dyDescent="0.35">
      <c r="B16" s="40">
        <v>11</v>
      </c>
      <c r="C16" s="38" t="s">
        <v>63</v>
      </c>
      <c r="D16" s="25">
        <v>400342.5</v>
      </c>
      <c r="E16" s="25">
        <v>0</v>
      </c>
      <c r="F16" s="47">
        <f t="shared" si="2"/>
        <v>400342.5</v>
      </c>
      <c r="G16" s="25">
        <f t="shared" si="1"/>
        <v>2637525.4</v>
      </c>
      <c r="H16" s="48">
        <f t="shared" si="0"/>
        <v>-5.7733194051861902</v>
      </c>
      <c r="I16" s="25">
        <f>+I15+624191.5</f>
        <v>2799128</v>
      </c>
      <c r="J16" s="21"/>
      <c r="K16" s="1"/>
    </row>
    <row r="17" spans="2:11" x14ac:dyDescent="0.35">
      <c r="B17" s="40">
        <v>12</v>
      </c>
      <c r="C17" s="38" t="s">
        <v>78</v>
      </c>
      <c r="D17" s="25">
        <v>272234</v>
      </c>
      <c r="E17" s="25">
        <v>0</v>
      </c>
      <c r="F17" s="47">
        <f t="shared" si="2"/>
        <v>272234</v>
      </c>
      <c r="G17" s="25">
        <f t="shared" si="1"/>
        <v>2909759.4</v>
      </c>
      <c r="H17" s="48">
        <f>((G17-I17)/I17)*100</f>
        <v>-10.438173606409713</v>
      </c>
      <c r="I17" s="25">
        <f>+I16+449755.5</f>
        <v>3248883.5</v>
      </c>
      <c r="J17" s="21"/>
      <c r="K17" s="1"/>
    </row>
    <row r="18" spans="2:11" x14ac:dyDescent="0.35">
      <c r="B18" s="40">
        <v>13</v>
      </c>
      <c r="C18" s="38" t="s">
        <v>64</v>
      </c>
      <c r="D18" s="25">
        <v>143143</v>
      </c>
      <c r="E18" s="25">
        <v>0</v>
      </c>
      <c r="F18" s="47">
        <f t="shared" si="2"/>
        <v>143143</v>
      </c>
      <c r="G18" s="25">
        <f t="shared" si="1"/>
        <v>3052902.3999999999</v>
      </c>
      <c r="H18" s="48">
        <f>((G18-I18)/I18)*100</f>
        <v>-13.49024601802963</v>
      </c>
      <c r="I18" s="25">
        <v>3528969</v>
      </c>
      <c r="J18" s="21"/>
      <c r="K18" s="1"/>
    </row>
    <row r="19" spans="2:11" x14ac:dyDescent="0.35">
      <c r="B19" s="40">
        <v>14</v>
      </c>
      <c r="C19" s="58" t="s">
        <v>65</v>
      </c>
      <c r="D19" s="25">
        <v>79621</v>
      </c>
      <c r="E19" s="25">
        <v>0</v>
      </c>
      <c r="F19" s="47">
        <f t="shared" si="2"/>
        <v>79621</v>
      </c>
      <c r="G19" s="25">
        <f t="shared" si="1"/>
        <v>3132523.4</v>
      </c>
      <c r="H19" s="48">
        <f>((G19-I19)/I19)*100</f>
        <v>-14.387309465358552</v>
      </c>
      <c r="I19" s="25">
        <f>+I18+129978.5</f>
        <v>3658947.5</v>
      </c>
      <c r="J19" s="21"/>
      <c r="K19" s="1"/>
    </row>
    <row r="20" spans="2:11" x14ac:dyDescent="0.35">
      <c r="B20" s="40">
        <v>15</v>
      </c>
      <c r="C20" s="38" t="s">
        <v>66</v>
      </c>
      <c r="D20" s="25">
        <v>47870</v>
      </c>
      <c r="E20" s="25">
        <v>0</v>
      </c>
      <c r="F20" s="47">
        <f t="shared" si="2"/>
        <v>47870</v>
      </c>
      <c r="G20" s="25">
        <f>+G19+F20</f>
        <v>3180393.4</v>
      </c>
      <c r="H20" s="48">
        <f>((G20-I20)/I20)*100</f>
        <v>-15.337623339222144</v>
      </c>
      <c r="I20" s="25">
        <f>+I19+97613</f>
        <v>3756560.5</v>
      </c>
      <c r="J20" s="21"/>
      <c r="K20" s="1"/>
    </row>
    <row r="21" spans="2:11" x14ac:dyDescent="0.35">
      <c r="B21" s="40">
        <v>16</v>
      </c>
      <c r="C21" s="38" t="s">
        <v>67</v>
      </c>
      <c r="D21" s="25">
        <v>81430.5</v>
      </c>
      <c r="E21" s="25">
        <v>0</v>
      </c>
      <c r="F21" s="47">
        <f t="shared" si="2"/>
        <v>81430.5</v>
      </c>
      <c r="G21" s="25">
        <f t="shared" ref="G21:G33" si="3">+G20+F21</f>
        <v>3261823.9</v>
      </c>
      <c r="H21" s="48">
        <f t="shared" ref="H21:H33" si="4">((G21-I21)/I21)*100</f>
        <v>-14.37392395589678</v>
      </c>
      <c r="I21" s="25">
        <v>3809381.5</v>
      </c>
      <c r="J21" s="21"/>
      <c r="K21" s="1"/>
    </row>
    <row r="22" spans="2:11" x14ac:dyDescent="0.35">
      <c r="B22" s="40">
        <v>17</v>
      </c>
      <c r="C22" s="38" t="s">
        <v>68</v>
      </c>
      <c r="D22" s="25">
        <v>0</v>
      </c>
      <c r="E22" s="25">
        <v>0</v>
      </c>
      <c r="F22" s="47">
        <f t="shared" si="2"/>
        <v>0</v>
      </c>
      <c r="G22" s="25">
        <f t="shared" si="3"/>
        <v>3261823.9</v>
      </c>
      <c r="H22" s="48">
        <f t="shared" si="4"/>
        <v>-16.043810406290621</v>
      </c>
      <c r="I22" s="25">
        <v>3885150</v>
      </c>
      <c r="J22" s="21"/>
      <c r="K22" s="1"/>
    </row>
    <row r="23" spans="2:11" x14ac:dyDescent="0.35">
      <c r="B23" s="40">
        <v>18</v>
      </c>
      <c r="C23" s="38" t="s">
        <v>69</v>
      </c>
      <c r="D23" s="25">
        <v>0</v>
      </c>
      <c r="E23" s="25">
        <v>0</v>
      </c>
      <c r="F23" s="47">
        <f t="shared" si="2"/>
        <v>0</v>
      </c>
      <c r="G23" s="25">
        <f t="shared" si="3"/>
        <v>3261823.9</v>
      </c>
      <c r="H23" s="48">
        <f t="shared" si="4"/>
        <v>-17.517441881047766</v>
      </c>
      <c r="I23" s="25">
        <f>+I22+69412</f>
        <v>3954562</v>
      </c>
      <c r="J23" s="21"/>
      <c r="K23" s="1"/>
    </row>
    <row r="24" spans="2:11" x14ac:dyDescent="0.35">
      <c r="B24" s="40">
        <v>19</v>
      </c>
      <c r="C24" s="38" t="s">
        <v>70</v>
      </c>
      <c r="D24" s="25">
        <v>0</v>
      </c>
      <c r="E24" s="25">
        <v>0</v>
      </c>
      <c r="F24" s="47">
        <f t="shared" si="2"/>
        <v>0</v>
      </c>
      <c r="G24" s="25">
        <f t="shared" si="3"/>
        <v>3261823.9</v>
      </c>
      <c r="H24" s="48">
        <f t="shared" si="4"/>
        <v>-17.579217420176143</v>
      </c>
      <c r="I24" s="25">
        <f>+I23+2964</f>
        <v>3957526</v>
      </c>
      <c r="J24" s="21"/>
      <c r="K24" s="1"/>
    </row>
    <row r="25" spans="2:11" x14ac:dyDescent="0.35">
      <c r="B25" s="40">
        <v>20</v>
      </c>
      <c r="C25" s="38" t="s">
        <v>85</v>
      </c>
      <c r="D25" s="25">
        <v>0</v>
      </c>
      <c r="E25" s="25">
        <v>0</v>
      </c>
      <c r="F25" s="47">
        <f t="shared" si="2"/>
        <v>0</v>
      </c>
      <c r="G25" s="25">
        <f t="shared" si="3"/>
        <v>3261823.9</v>
      </c>
      <c r="H25" s="48">
        <f t="shared" si="4"/>
        <v>-17.583694840061543</v>
      </c>
      <c r="I25" s="25">
        <f>+I24+215</f>
        <v>3957741</v>
      </c>
      <c r="J25" s="21"/>
      <c r="K25" s="1"/>
    </row>
    <row r="26" spans="2:11" x14ac:dyDescent="0.35">
      <c r="B26" s="40">
        <v>21</v>
      </c>
      <c r="C26" s="38" t="s">
        <v>72</v>
      </c>
      <c r="D26" s="25">
        <v>0</v>
      </c>
      <c r="E26" s="25">
        <v>0</v>
      </c>
      <c r="F26" s="47">
        <f t="shared" si="2"/>
        <v>0</v>
      </c>
      <c r="G26" s="25">
        <f t="shared" si="3"/>
        <v>3261823.9</v>
      </c>
      <c r="H26" s="48">
        <f t="shared" si="4"/>
        <v>-17.707370583312667</v>
      </c>
      <c r="I26" s="25">
        <f>+I25+5948</f>
        <v>3963689</v>
      </c>
      <c r="J26" s="21"/>
      <c r="K26" s="1"/>
    </row>
    <row r="27" spans="2:11" x14ac:dyDescent="0.35">
      <c r="B27" s="40">
        <v>22</v>
      </c>
      <c r="C27" s="38" t="s">
        <v>73</v>
      </c>
      <c r="D27" s="25">
        <v>1484.5</v>
      </c>
      <c r="E27" s="25">
        <v>0</v>
      </c>
      <c r="F27" s="47">
        <f t="shared" si="2"/>
        <v>1484.5</v>
      </c>
      <c r="G27" s="25">
        <f t="shared" si="3"/>
        <v>3263308.4</v>
      </c>
      <c r="H27" s="48">
        <f t="shared" si="4"/>
        <v>-17.876909801104997</v>
      </c>
      <c r="I27" s="25">
        <f>+I26+9990.5</f>
        <v>3973679.5</v>
      </c>
      <c r="J27" s="21"/>
    </row>
    <row r="28" spans="2:11" x14ac:dyDescent="0.35">
      <c r="B28" s="40">
        <v>23</v>
      </c>
      <c r="C28" s="38" t="s">
        <v>80</v>
      </c>
      <c r="D28" s="25">
        <v>0</v>
      </c>
      <c r="E28" s="25">
        <v>0</v>
      </c>
      <c r="F28" s="47">
        <f t="shared" si="2"/>
        <v>0</v>
      </c>
      <c r="G28" s="25">
        <f t="shared" si="3"/>
        <v>3263308.4</v>
      </c>
      <c r="H28" s="48">
        <f t="shared" si="4"/>
        <v>-17.876909801104997</v>
      </c>
      <c r="I28" s="25">
        <f>+I27+0</f>
        <v>3973679.5</v>
      </c>
      <c r="J28" s="21"/>
    </row>
    <row r="29" spans="2:11" x14ac:dyDescent="0.35">
      <c r="B29" s="40">
        <v>24</v>
      </c>
      <c r="C29" s="38" t="s">
        <v>75</v>
      </c>
      <c r="D29" s="25">
        <v>0</v>
      </c>
      <c r="E29" s="25">
        <v>0</v>
      </c>
      <c r="F29" s="47">
        <f t="shared" si="2"/>
        <v>0</v>
      </c>
      <c r="G29" s="25">
        <f t="shared" si="3"/>
        <v>3263308.4</v>
      </c>
      <c r="H29" s="48">
        <f t="shared" si="4"/>
        <v>-23.307411165590576</v>
      </c>
      <c r="I29" s="25">
        <f>+I28+281371.02</f>
        <v>4255050.5199999996</v>
      </c>
      <c r="J29" s="21"/>
    </row>
    <row r="30" spans="2:11" x14ac:dyDescent="0.35">
      <c r="B30" s="40">
        <v>25</v>
      </c>
      <c r="C30" s="77" t="s">
        <v>76</v>
      </c>
      <c r="D30" s="25">
        <v>0</v>
      </c>
      <c r="E30" s="25">
        <v>0</v>
      </c>
      <c r="F30" s="47">
        <f t="shared" si="2"/>
        <v>0</v>
      </c>
      <c r="G30" s="25">
        <f t="shared" si="3"/>
        <v>3263308.4</v>
      </c>
      <c r="H30" s="48">
        <f t="shared" si="4"/>
        <v>-23.307411165590576</v>
      </c>
      <c r="I30" s="25">
        <f>+I29+0</f>
        <v>4255050.5199999996</v>
      </c>
      <c r="J30" s="21"/>
    </row>
    <row r="31" spans="2:11" x14ac:dyDescent="0.35">
      <c r="B31" s="111">
        <v>26</v>
      </c>
      <c r="C31" s="112" t="s">
        <v>77</v>
      </c>
      <c r="D31" s="105">
        <v>0</v>
      </c>
      <c r="E31" s="106">
        <v>0</v>
      </c>
      <c r="F31" s="107">
        <f t="shared" si="2"/>
        <v>0</v>
      </c>
      <c r="G31" s="106">
        <f t="shared" si="3"/>
        <v>3263308.4</v>
      </c>
      <c r="H31" s="48">
        <f t="shared" si="4"/>
        <v>-23.307411165590576</v>
      </c>
      <c r="I31" s="25">
        <f>+I30+0</f>
        <v>4255050.5199999996</v>
      </c>
      <c r="J31" s="21"/>
    </row>
    <row r="32" spans="2:11" x14ac:dyDescent="0.35">
      <c r="B32" s="111">
        <v>27</v>
      </c>
      <c r="C32" s="77" t="s">
        <v>81</v>
      </c>
      <c r="D32" s="119">
        <v>0</v>
      </c>
      <c r="E32" s="120">
        <v>0</v>
      </c>
      <c r="F32" s="121">
        <f t="shared" si="2"/>
        <v>0</v>
      </c>
      <c r="G32" s="120">
        <f t="shared" si="3"/>
        <v>3263308.4</v>
      </c>
      <c r="H32" s="48">
        <f t="shared" si="4"/>
        <v>-23.307411165590576</v>
      </c>
      <c r="I32" s="25">
        <f>+I31+0</f>
        <v>4255050.5199999996</v>
      </c>
      <c r="J32" s="21"/>
    </row>
    <row r="33" spans="2:11" x14ac:dyDescent="0.35">
      <c r="B33" s="110">
        <v>28</v>
      </c>
      <c r="C33" s="77" t="s">
        <v>87</v>
      </c>
      <c r="D33" s="108">
        <v>0</v>
      </c>
      <c r="E33" s="108">
        <v>281501</v>
      </c>
      <c r="F33" s="109">
        <f t="shared" si="2"/>
        <v>281501</v>
      </c>
      <c r="G33" s="109">
        <f t="shared" si="3"/>
        <v>3544809.4</v>
      </c>
      <c r="H33" s="48">
        <f t="shared" si="4"/>
        <v>-16.691720031563804</v>
      </c>
      <c r="I33" s="25">
        <f>+I32+0</f>
        <v>4255050.5199999996</v>
      </c>
      <c r="J33" s="21"/>
    </row>
    <row r="34" spans="2:11" hidden="1" x14ac:dyDescent="0.35">
      <c r="B34" s="40">
        <v>29</v>
      </c>
      <c r="C34" s="16" t="s">
        <v>31</v>
      </c>
      <c r="D34" s="23"/>
      <c r="E34" s="23"/>
      <c r="F34" s="24">
        <f t="shared" ref="F34:F47" si="5">+E34+D34</f>
        <v>0</v>
      </c>
      <c r="G34" s="23">
        <f t="shared" ref="G34:G36" si="6">+G33+F34</f>
        <v>3544809.4</v>
      </c>
      <c r="H34" s="11">
        <v>0</v>
      </c>
      <c r="I34" s="25">
        <v>0</v>
      </c>
      <c r="J34" s="21"/>
    </row>
    <row r="35" spans="2:11" hidden="1" x14ac:dyDescent="0.35">
      <c r="B35" s="40">
        <v>30</v>
      </c>
      <c r="C35" s="17" t="s">
        <v>32</v>
      </c>
      <c r="D35" s="23"/>
      <c r="E35" s="23"/>
      <c r="F35" s="24">
        <f t="shared" si="5"/>
        <v>0</v>
      </c>
      <c r="G35" s="23">
        <f t="shared" si="6"/>
        <v>3544809.4</v>
      </c>
      <c r="H35" s="11">
        <v>0</v>
      </c>
      <c r="I35" s="25">
        <v>0</v>
      </c>
      <c r="J35" s="21"/>
    </row>
    <row r="36" spans="2:11" hidden="1" x14ac:dyDescent="0.35">
      <c r="B36" s="40">
        <v>31</v>
      </c>
      <c r="C36" s="27" t="s">
        <v>33</v>
      </c>
      <c r="D36" s="28"/>
      <c r="E36" s="28"/>
      <c r="F36" s="29">
        <f t="shared" si="5"/>
        <v>0</v>
      </c>
      <c r="G36" s="28">
        <f t="shared" si="6"/>
        <v>3544809.4</v>
      </c>
      <c r="H36" s="30">
        <v>0</v>
      </c>
      <c r="I36" s="31">
        <v>0</v>
      </c>
      <c r="J36" s="21"/>
    </row>
    <row r="37" spans="2:11" hidden="1" x14ac:dyDescent="0.35">
      <c r="B37" s="40">
        <v>32</v>
      </c>
      <c r="C37" s="16" t="s">
        <v>30</v>
      </c>
      <c r="D37" s="23"/>
      <c r="E37" s="23"/>
      <c r="F37" s="24">
        <f t="shared" si="5"/>
        <v>0</v>
      </c>
      <c r="G37" s="23">
        <f>+G29+F37</f>
        <v>3263308.4</v>
      </c>
      <c r="H37" s="11">
        <v>0</v>
      </c>
      <c r="I37" s="25">
        <v>0</v>
      </c>
      <c r="J37" s="21"/>
    </row>
    <row r="38" spans="2:11" hidden="1" x14ac:dyDescent="0.35">
      <c r="B38" s="40">
        <v>33</v>
      </c>
      <c r="C38" s="16" t="s">
        <v>27</v>
      </c>
      <c r="D38" s="23"/>
      <c r="E38" s="23"/>
      <c r="F38" s="24">
        <f t="shared" si="5"/>
        <v>0</v>
      </c>
      <c r="G38" s="23">
        <f t="shared" ref="G38:G42" si="7">+G37+F38</f>
        <v>3263308.4</v>
      </c>
      <c r="H38" s="11">
        <v>0</v>
      </c>
      <c r="I38" s="25">
        <v>0</v>
      </c>
      <c r="J38" s="21"/>
    </row>
    <row r="39" spans="2:11" hidden="1" x14ac:dyDescent="0.35">
      <c r="B39" s="40">
        <v>34</v>
      </c>
      <c r="C39" s="16" t="s">
        <v>28</v>
      </c>
      <c r="D39" s="23"/>
      <c r="E39" s="23"/>
      <c r="F39" s="24">
        <f t="shared" si="5"/>
        <v>0</v>
      </c>
      <c r="G39" s="23">
        <f t="shared" si="7"/>
        <v>3263308.4</v>
      </c>
      <c r="H39" s="11">
        <v>0</v>
      </c>
      <c r="I39" s="25">
        <v>0</v>
      </c>
      <c r="J39" s="21"/>
    </row>
    <row r="40" spans="2:11" hidden="1" x14ac:dyDescent="0.35">
      <c r="B40" s="40">
        <v>35</v>
      </c>
      <c r="C40" s="16" t="s">
        <v>29</v>
      </c>
      <c r="D40" s="23"/>
      <c r="E40" s="23"/>
      <c r="F40" s="24">
        <f t="shared" si="5"/>
        <v>0</v>
      </c>
      <c r="G40" s="23">
        <f t="shared" si="7"/>
        <v>3263308.4</v>
      </c>
      <c r="H40" s="11">
        <v>0</v>
      </c>
      <c r="I40" s="25">
        <v>0</v>
      </c>
      <c r="J40" s="21"/>
    </row>
    <row r="41" spans="2:11" hidden="1" x14ac:dyDescent="0.35">
      <c r="B41" s="40">
        <v>36</v>
      </c>
      <c r="C41" s="16" t="s">
        <v>30</v>
      </c>
      <c r="D41" s="23"/>
      <c r="E41" s="23"/>
      <c r="F41" s="24">
        <f t="shared" si="5"/>
        <v>0</v>
      </c>
      <c r="G41" s="23">
        <f t="shared" si="7"/>
        <v>3263308.4</v>
      </c>
      <c r="H41" s="11">
        <v>0</v>
      </c>
      <c r="I41" s="25">
        <v>0</v>
      </c>
      <c r="J41" s="21"/>
    </row>
    <row r="42" spans="2:11" hidden="1" x14ac:dyDescent="0.35">
      <c r="B42" s="40">
        <v>37</v>
      </c>
      <c r="C42" s="16" t="s">
        <v>31</v>
      </c>
      <c r="D42" s="23"/>
      <c r="E42" s="23"/>
      <c r="F42" s="24">
        <f t="shared" si="5"/>
        <v>0</v>
      </c>
      <c r="G42" s="23">
        <f t="shared" si="7"/>
        <v>3263308.4</v>
      </c>
      <c r="H42" s="11">
        <v>0</v>
      </c>
      <c r="I42" s="25">
        <v>0</v>
      </c>
      <c r="J42" s="21"/>
    </row>
    <row r="43" spans="2:11" hidden="1" x14ac:dyDescent="0.35">
      <c r="B43" s="40">
        <v>38</v>
      </c>
      <c r="C43" s="16" t="s">
        <v>29</v>
      </c>
      <c r="D43" s="23"/>
      <c r="E43" s="23"/>
      <c r="F43" s="24">
        <f t="shared" si="5"/>
        <v>0</v>
      </c>
      <c r="G43" s="23">
        <f>+G26+F43</f>
        <v>3261823.9</v>
      </c>
      <c r="H43" s="11">
        <v>0</v>
      </c>
      <c r="I43" s="25">
        <v>0</v>
      </c>
      <c r="J43" s="21"/>
      <c r="K43" s="1"/>
    </row>
    <row r="44" spans="2:11" hidden="1" x14ac:dyDescent="0.35">
      <c r="B44" s="40">
        <v>39</v>
      </c>
      <c r="C44" s="16" t="s">
        <v>30</v>
      </c>
      <c r="D44" s="23"/>
      <c r="E44" s="23"/>
      <c r="F44" s="24">
        <f t="shared" si="5"/>
        <v>0</v>
      </c>
      <c r="G44" s="23">
        <f t="shared" ref="G44:G47" si="8">+G43+F44</f>
        <v>3261823.9</v>
      </c>
      <c r="H44" s="11">
        <v>0</v>
      </c>
      <c r="I44" s="25">
        <v>0</v>
      </c>
      <c r="J44" s="21"/>
      <c r="K44" s="1"/>
    </row>
    <row r="45" spans="2:11" hidden="1" x14ac:dyDescent="0.35">
      <c r="B45" s="40">
        <v>40</v>
      </c>
      <c r="C45" s="16" t="s">
        <v>31</v>
      </c>
      <c r="D45" s="23"/>
      <c r="E45" s="23"/>
      <c r="F45" s="24">
        <f t="shared" si="5"/>
        <v>0</v>
      </c>
      <c r="G45" s="23">
        <f t="shared" si="8"/>
        <v>3261823.9</v>
      </c>
      <c r="H45" s="11">
        <v>0</v>
      </c>
      <c r="I45" s="25">
        <v>0</v>
      </c>
      <c r="J45" s="21"/>
      <c r="K45" s="1"/>
    </row>
    <row r="46" spans="2:11" hidden="1" x14ac:dyDescent="0.35">
      <c r="B46" s="40">
        <v>41</v>
      </c>
      <c r="C46" s="17" t="s">
        <v>32</v>
      </c>
      <c r="D46" s="23"/>
      <c r="E46" s="23"/>
      <c r="F46" s="24">
        <f t="shared" si="5"/>
        <v>0</v>
      </c>
      <c r="G46" s="23">
        <f t="shared" si="8"/>
        <v>3261823.9</v>
      </c>
      <c r="H46" s="11">
        <v>0</v>
      </c>
      <c r="I46" s="25">
        <v>0</v>
      </c>
      <c r="J46" s="21"/>
      <c r="K46" s="1"/>
    </row>
    <row r="47" spans="2:11" hidden="1" x14ac:dyDescent="0.35">
      <c r="B47" s="40">
        <v>42</v>
      </c>
      <c r="C47" s="27" t="s">
        <v>33</v>
      </c>
      <c r="D47" s="28"/>
      <c r="E47" s="28"/>
      <c r="F47" s="29">
        <f t="shared" si="5"/>
        <v>0</v>
      </c>
      <c r="G47" s="28">
        <f t="shared" si="8"/>
        <v>3261823.9</v>
      </c>
      <c r="H47" s="30">
        <v>0</v>
      </c>
      <c r="I47" s="31">
        <v>0</v>
      </c>
      <c r="J47" s="21"/>
      <c r="K47" s="1"/>
    </row>
    <row r="48" spans="2:11" x14ac:dyDescent="0.35">
      <c r="B48" s="5"/>
      <c r="C48" s="5"/>
      <c r="D48" s="6"/>
      <c r="E48" s="6"/>
      <c r="F48" s="6"/>
      <c r="G48" s="6"/>
      <c r="H48" s="7"/>
      <c r="I48" s="6"/>
      <c r="J48" s="5"/>
      <c r="K48" s="1"/>
    </row>
    <row r="49" spans="2:11" x14ac:dyDescent="0.35">
      <c r="B49" s="8" t="s">
        <v>34</v>
      </c>
      <c r="C49" s="5"/>
      <c r="D49" s="5"/>
      <c r="E49" s="5"/>
      <c r="F49" s="5"/>
      <c r="G49" s="5"/>
      <c r="H49" s="5"/>
      <c r="I49" s="5"/>
      <c r="J49" s="5"/>
      <c r="K49" s="1"/>
    </row>
    <row r="50" spans="2:11" x14ac:dyDescent="0.35">
      <c r="B50" s="9" t="s">
        <v>35</v>
      </c>
      <c r="C50" s="5"/>
      <c r="D50" s="5"/>
      <c r="E50" s="5"/>
      <c r="F50" s="5"/>
      <c r="G50" s="5"/>
      <c r="H50" s="5"/>
      <c r="I50" s="5"/>
      <c r="J50" s="5"/>
      <c r="K50" s="1"/>
    </row>
    <row r="51" spans="2:11" x14ac:dyDescent="0.35">
      <c r="B51" s="9" t="s">
        <v>36</v>
      </c>
      <c r="C51" s="5"/>
      <c r="D51" s="5"/>
      <c r="E51" s="5"/>
      <c r="F51" s="5"/>
      <c r="G51" s="5"/>
      <c r="H51" s="5"/>
      <c r="I51" s="5"/>
      <c r="J51" s="5"/>
      <c r="K51" s="1"/>
    </row>
    <row r="52" spans="2:11" x14ac:dyDescent="0.35">
      <c r="B52" s="9" t="s">
        <v>37</v>
      </c>
      <c r="C52" s="5"/>
      <c r="D52" s="5"/>
      <c r="E52" s="5"/>
      <c r="F52" s="5"/>
      <c r="G52" s="5"/>
      <c r="H52" s="5"/>
      <c r="I52" s="5"/>
      <c r="J52" s="5"/>
      <c r="K52" s="1"/>
    </row>
    <row r="53" spans="2:11" x14ac:dyDescent="0.35">
      <c r="B53" s="9"/>
      <c r="C53" s="5"/>
      <c r="D53" s="5"/>
      <c r="E53" s="5"/>
      <c r="F53" s="5"/>
      <c r="G53" s="5"/>
      <c r="H53" s="5"/>
      <c r="I53" s="5"/>
      <c r="J53" s="5"/>
      <c r="K53" s="1"/>
    </row>
    <row r="54" spans="2:11" x14ac:dyDescent="0.35">
      <c r="B54" s="9"/>
      <c r="C54" s="5"/>
      <c r="D54" s="5"/>
      <c r="E54" s="5"/>
      <c r="F54" s="5"/>
      <c r="G54" s="5"/>
      <c r="H54" s="5"/>
      <c r="I54" s="5"/>
      <c r="J54" s="5"/>
      <c r="K54" s="1"/>
    </row>
    <row r="55" spans="2:11" ht="18.5" x14ac:dyDescent="0.45">
      <c r="B55" s="10"/>
      <c r="C55" s="10"/>
      <c r="D55" s="180" t="s">
        <v>38</v>
      </c>
      <c r="E55" s="180"/>
      <c r="F55" s="180"/>
      <c r="G55" s="180"/>
      <c r="H55" s="180"/>
      <c r="I55" s="180"/>
      <c r="J55" s="10"/>
    </row>
    <row r="56" spans="2:11" s="35" customFormat="1" ht="16" x14ac:dyDescent="0.4">
      <c r="B56" s="26"/>
      <c r="C56" s="26"/>
      <c r="D56" s="181" t="s">
        <v>47</v>
      </c>
      <c r="E56" s="181"/>
      <c r="F56" s="181"/>
      <c r="G56" s="181"/>
      <c r="H56" s="181"/>
      <c r="I56" s="181"/>
      <c r="J56" s="26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74" t="s">
        <v>6</v>
      </c>
      <c r="E58" s="175"/>
      <c r="F58" s="175"/>
      <c r="G58" s="176"/>
      <c r="H58" s="166" t="s">
        <v>7</v>
      </c>
      <c r="I58" s="167"/>
      <c r="J58" s="4"/>
    </row>
    <row r="59" spans="2:11" x14ac:dyDescent="0.35">
      <c r="B59" s="12"/>
      <c r="C59" s="13"/>
      <c r="D59" s="170" t="s">
        <v>9</v>
      </c>
      <c r="E59" s="171"/>
      <c r="F59" s="171"/>
      <c r="G59" s="172"/>
      <c r="H59" s="168"/>
      <c r="I59" s="169"/>
      <c r="J59" s="4"/>
    </row>
    <row r="60" spans="2:11" ht="14.4" customHeight="1" x14ac:dyDescent="0.35">
      <c r="B60" s="133" t="s">
        <v>10</v>
      </c>
      <c r="C60" s="135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61" t="s">
        <v>16</v>
      </c>
      <c r="I60" s="135" t="s">
        <v>17</v>
      </c>
      <c r="J60" s="19"/>
    </row>
    <row r="61" spans="2:11" ht="38.4" customHeight="1" x14ac:dyDescent="0.35">
      <c r="B61" s="134"/>
      <c r="C61" s="136"/>
      <c r="D61" s="163" t="s">
        <v>20</v>
      </c>
      <c r="E61" s="164"/>
      <c r="F61" s="164"/>
      <c r="G61" s="165"/>
      <c r="H61" s="162"/>
      <c r="I61" s="136"/>
      <c r="J61" s="19"/>
    </row>
    <row r="62" spans="2:11" x14ac:dyDescent="0.35">
      <c r="B62" s="40">
        <v>4</v>
      </c>
      <c r="C62" s="38" t="s">
        <v>21</v>
      </c>
      <c r="D62" s="20">
        <v>0</v>
      </c>
      <c r="E62" s="20">
        <v>0</v>
      </c>
      <c r="F62" s="43">
        <f>+D62+E62</f>
        <v>0</v>
      </c>
      <c r="G62" s="20">
        <f>+F62</f>
        <v>0</v>
      </c>
      <c r="H62" s="48" t="e">
        <f t="shared" ref="H62:H69" si="9">((G62-I62)/I62)*100</f>
        <v>#DIV/0!</v>
      </c>
      <c r="I62" s="20">
        <v>0</v>
      </c>
      <c r="J62" s="21"/>
    </row>
    <row r="63" spans="2:11" x14ac:dyDescent="0.35">
      <c r="B63" s="40">
        <v>5</v>
      </c>
      <c r="C63" s="38" t="s">
        <v>22</v>
      </c>
      <c r="D63" s="25">
        <v>0</v>
      </c>
      <c r="E63" s="25">
        <v>0</v>
      </c>
      <c r="F63" s="47">
        <f>+E63+D63</f>
        <v>0</v>
      </c>
      <c r="G63" s="25">
        <f>+G62+F63</f>
        <v>0</v>
      </c>
      <c r="H63" s="48" t="e">
        <f t="shared" si="9"/>
        <v>#DIV/0!</v>
      </c>
      <c r="I63" s="25">
        <v>0</v>
      </c>
      <c r="J63" s="21"/>
    </row>
    <row r="64" spans="2:11" x14ac:dyDescent="0.35">
      <c r="B64" s="40">
        <v>6</v>
      </c>
      <c r="C64" s="38" t="s">
        <v>23</v>
      </c>
      <c r="D64" s="25">
        <v>15249.4</v>
      </c>
      <c r="E64" s="25">
        <v>0</v>
      </c>
      <c r="F64" s="47">
        <f>+E64+D64</f>
        <v>15249.4</v>
      </c>
      <c r="G64" s="25">
        <f t="shared" ref="G64" si="10">+G63+F64</f>
        <v>15249.4</v>
      </c>
      <c r="H64" s="48" t="e">
        <f t="shared" si="9"/>
        <v>#DIV/0!</v>
      </c>
      <c r="I64" s="25">
        <v>0</v>
      </c>
      <c r="J64" s="21"/>
    </row>
    <row r="65" spans="2:10" x14ac:dyDescent="0.35">
      <c r="B65" s="40">
        <v>7</v>
      </c>
      <c r="C65" s="38" t="s">
        <v>24</v>
      </c>
      <c r="D65" s="25">
        <v>0</v>
      </c>
      <c r="E65" s="25">
        <v>0</v>
      </c>
      <c r="F65" s="47">
        <f t="shared" ref="F65:F86" si="11">+E65+D65</f>
        <v>0</v>
      </c>
      <c r="G65" s="25">
        <f>+G64+F65</f>
        <v>15249.4</v>
      </c>
      <c r="H65" s="48" t="e">
        <f t="shared" si="9"/>
        <v>#DIV/0!</v>
      </c>
      <c r="I65" s="25">
        <v>0</v>
      </c>
      <c r="J65" s="21"/>
    </row>
    <row r="66" spans="2:10" x14ac:dyDescent="0.35">
      <c r="B66" s="40">
        <v>8</v>
      </c>
      <c r="C66" s="38" t="s">
        <v>25</v>
      </c>
      <c r="D66" s="25">
        <v>0</v>
      </c>
      <c r="E66" s="25">
        <v>0</v>
      </c>
      <c r="F66" s="47">
        <f t="shared" si="11"/>
        <v>0</v>
      </c>
      <c r="G66" s="25">
        <f t="shared" ref="G66:G86" si="12">+G65+F66</f>
        <v>15249.4</v>
      </c>
      <c r="H66" s="48" t="e">
        <f t="shared" si="9"/>
        <v>#DIV/0!</v>
      </c>
      <c r="I66" s="25">
        <v>0</v>
      </c>
      <c r="J66" s="21"/>
    </row>
    <row r="67" spans="2:10" x14ac:dyDescent="0.35">
      <c r="B67" s="40">
        <v>9</v>
      </c>
      <c r="C67" s="38" t="s">
        <v>26</v>
      </c>
      <c r="D67" s="25">
        <v>17556.5</v>
      </c>
      <c r="E67" s="25">
        <v>0</v>
      </c>
      <c r="F67" s="47">
        <f t="shared" si="11"/>
        <v>17556.5</v>
      </c>
      <c r="G67" s="25">
        <f t="shared" si="12"/>
        <v>32805.9</v>
      </c>
      <c r="H67" s="48" t="e">
        <f t="shared" si="9"/>
        <v>#DIV/0!</v>
      </c>
      <c r="I67" s="25">
        <v>0</v>
      </c>
      <c r="J67" s="21"/>
    </row>
    <row r="68" spans="2:10" x14ac:dyDescent="0.35">
      <c r="B68" s="40">
        <v>10</v>
      </c>
      <c r="C68" s="38" t="s">
        <v>62</v>
      </c>
      <c r="D68" s="25">
        <v>0</v>
      </c>
      <c r="E68" s="25">
        <v>0</v>
      </c>
      <c r="F68" s="47">
        <f t="shared" si="11"/>
        <v>0</v>
      </c>
      <c r="G68" s="25">
        <f t="shared" si="12"/>
        <v>32805.9</v>
      </c>
      <c r="H68" s="48" t="e">
        <f t="shared" si="9"/>
        <v>#DIV/0!</v>
      </c>
      <c r="I68" s="25">
        <v>0</v>
      </c>
      <c r="J68" s="21"/>
    </row>
    <row r="69" spans="2:10" x14ac:dyDescent="0.35">
      <c r="B69" s="40">
        <v>11</v>
      </c>
      <c r="C69" s="38" t="s">
        <v>63</v>
      </c>
      <c r="D69" s="25">
        <v>0</v>
      </c>
      <c r="E69" s="25">
        <v>0</v>
      </c>
      <c r="F69" s="47">
        <f t="shared" si="11"/>
        <v>0</v>
      </c>
      <c r="G69" s="25">
        <f t="shared" si="12"/>
        <v>32805.9</v>
      </c>
      <c r="H69" s="48" t="e">
        <f t="shared" si="9"/>
        <v>#DIV/0!</v>
      </c>
      <c r="I69" s="25">
        <v>0</v>
      </c>
      <c r="J69" s="21"/>
    </row>
    <row r="70" spans="2:10" x14ac:dyDescent="0.35">
      <c r="B70" s="40">
        <v>12</v>
      </c>
      <c r="C70" s="38" t="s">
        <v>78</v>
      </c>
      <c r="D70" s="25">
        <v>0</v>
      </c>
      <c r="E70" s="25">
        <v>0</v>
      </c>
      <c r="F70" s="47">
        <f t="shared" si="11"/>
        <v>0</v>
      </c>
      <c r="G70" s="25">
        <f t="shared" si="12"/>
        <v>32805.9</v>
      </c>
      <c r="H70" s="48" t="e">
        <f>((G70-I70)/I70)*100</f>
        <v>#DIV/0!</v>
      </c>
      <c r="I70" s="25">
        <v>0</v>
      </c>
      <c r="J70" s="21"/>
    </row>
    <row r="71" spans="2:10" x14ac:dyDescent="0.35">
      <c r="B71" s="40">
        <v>13</v>
      </c>
      <c r="C71" s="38" t="s">
        <v>64</v>
      </c>
      <c r="D71" s="25">
        <v>0</v>
      </c>
      <c r="E71" s="25">
        <v>0</v>
      </c>
      <c r="F71" s="47">
        <f t="shared" si="11"/>
        <v>0</v>
      </c>
      <c r="G71" s="25">
        <f t="shared" si="12"/>
        <v>32805.9</v>
      </c>
      <c r="H71" s="48" t="e">
        <f>((G71-I71)/I71)*100</f>
        <v>#DIV/0!</v>
      </c>
      <c r="I71" s="25">
        <v>0</v>
      </c>
      <c r="J71" s="21"/>
    </row>
    <row r="72" spans="2:10" x14ac:dyDescent="0.35">
      <c r="B72" s="40">
        <v>14</v>
      </c>
      <c r="C72" s="58" t="s">
        <v>65</v>
      </c>
      <c r="D72" s="25">
        <v>0</v>
      </c>
      <c r="E72" s="25">
        <v>0</v>
      </c>
      <c r="F72" s="47">
        <f t="shared" si="11"/>
        <v>0</v>
      </c>
      <c r="G72" s="25">
        <f t="shared" si="12"/>
        <v>32805.9</v>
      </c>
      <c r="H72" s="48" t="e">
        <f>((G72-I72)/I72)*100</f>
        <v>#DIV/0!</v>
      </c>
      <c r="I72" s="25">
        <v>0</v>
      </c>
      <c r="J72" s="21"/>
    </row>
    <row r="73" spans="2:10" x14ac:dyDescent="0.35">
      <c r="B73" s="40">
        <v>15</v>
      </c>
      <c r="C73" s="38" t="s">
        <v>66</v>
      </c>
      <c r="D73" s="25">
        <v>0</v>
      </c>
      <c r="E73" s="25">
        <v>0</v>
      </c>
      <c r="F73" s="47">
        <f t="shared" si="11"/>
        <v>0</v>
      </c>
      <c r="G73" s="25">
        <f t="shared" si="12"/>
        <v>32805.9</v>
      </c>
      <c r="H73" s="48" t="e">
        <f>((G73-I73)/I73)*100</f>
        <v>#DIV/0!</v>
      </c>
      <c r="I73" s="25">
        <v>0</v>
      </c>
      <c r="J73" s="21"/>
    </row>
    <row r="74" spans="2:10" x14ac:dyDescent="0.35">
      <c r="B74" s="40">
        <v>16</v>
      </c>
      <c r="C74" s="38" t="s">
        <v>67</v>
      </c>
      <c r="D74" s="25">
        <v>0</v>
      </c>
      <c r="E74" s="25">
        <v>0</v>
      </c>
      <c r="F74" s="47">
        <f t="shared" si="11"/>
        <v>0</v>
      </c>
      <c r="G74" s="25">
        <f t="shared" si="12"/>
        <v>32805.9</v>
      </c>
      <c r="H74" s="48" t="e">
        <f t="shared" ref="H74:H79" si="13">((G74-I74)/I74)*100</f>
        <v>#DIV/0!</v>
      </c>
      <c r="I74" s="25">
        <v>0</v>
      </c>
      <c r="J74" s="21"/>
    </row>
    <row r="75" spans="2:10" x14ac:dyDescent="0.35">
      <c r="B75" s="40">
        <v>17</v>
      </c>
      <c r="C75" s="38" t="s">
        <v>68</v>
      </c>
      <c r="D75" s="25">
        <v>0</v>
      </c>
      <c r="E75" s="25">
        <v>0</v>
      </c>
      <c r="F75" s="47">
        <f t="shared" si="11"/>
        <v>0</v>
      </c>
      <c r="G75" s="25">
        <f t="shared" si="12"/>
        <v>32805.9</v>
      </c>
      <c r="H75" s="48" t="e">
        <f t="shared" si="13"/>
        <v>#DIV/0!</v>
      </c>
      <c r="I75" s="25">
        <v>0</v>
      </c>
      <c r="J75" s="21"/>
    </row>
    <row r="76" spans="2:10" x14ac:dyDescent="0.35">
      <c r="B76" s="40">
        <v>18</v>
      </c>
      <c r="C76" s="38" t="s">
        <v>69</v>
      </c>
      <c r="D76" s="25">
        <v>0</v>
      </c>
      <c r="E76" s="25">
        <v>0</v>
      </c>
      <c r="F76" s="47">
        <f t="shared" si="11"/>
        <v>0</v>
      </c>
      <c r="G76" s="25">
        <f t="shared" si="12"/>
        <v>32805.9</v>
      </c>
      <c r="H76" s="48" t="e">
        <f t="shared" si="13"/>
        <v>#DIV/0!</v>
      </c>
      <c r="I76" s="25">
        <v>0</v>
      </c>
      <c r="J76" s="21"/>
    </row>
    <row r="77" spans="2:10" x14ac:dyDescent="0.35">
      <c r="B77" s="40">
        <v>19</v>
      </c>
      <c r="C77" s="38" t="s">
        <v>70</v>
      </c>
      <c r="D77" s="25">
        <v>0</v>
      </c>
      <c r="E77" s="25">
        <v>0</v>
      </c>
      <c r="F77" s="47">
        <f t="shared" si="11"/>
        <v>0</v>
      </c>
      <c r="G77" s="25">
        <f t="shared" si="12"/>
        <v>32805.9</v>
      </c>
      <c r="H77" s="48" t="e">
        <f t="shared" si="13"/>
        <v>#DIV/0!</v>
      </c>
      <c r="I77" s="25">
        <v>0</v>
      </c>
      <c r="J77" s="21"/>
    </row>
    <row r="78" spans="2:10" x14ac:dyDescent="0.35">
      <c r="B78" s="40">
        <v>20</v>
      </c>
      <c r="C78" s="38" t="s">
        <v>85</v>
      </c>
      <c r="D78" s="25">
        <v>0</v>
      </c>
      <c r="E78" s="25">
        <v>0</v>
      </c>
      <c r="F78" s="47">
        <f t="shared" si="11"/>
        <v>0</v>
      </c>
      <c r="G78" s="25">
        <f t="shared" si="12"/>
        <v>32805.9</v>
      </c>
      <c r="H78" s="48" t="e">
        <f t="shared" si="13"/>
        <v>#DIV/0!</v>
      </c>
      <c r="I78" s="25">
        <v>0</v>
      </c>
      <c r="J78" s="21"/>
    </row>
    <row r="79" spans="2:10" x14ac:dyDescent="0.35">
      <c r="B79" s="40">
        <v>21</v>
      </c>
      <c r="C79" s="38" t="s">
        <v>72</v>
      </c>
      <c r="D79" s="25">
        <v>0</v>
      </c>
      <c r="E79" s="25">
        <v>0</v>
      </c>
      <c r="F79" s="47">
        <f t="shared" si="11"/>
        <v>0</v>
      </c>
      <c r="G79" s="25">
        <f t="shared" si="12"/>
        <v>32805.9</v>
      </c>
      <c r="H79" s="48" t="e">
        <f t="shared" si="13"/>
        <v>#DIV/0!</v>
      </c>
      <c r="I79" s="25">
        <v>0</v>
      </c>
      <c r="J79" s="21"/>
    </row>
    <row r="80" spans="2:10" x14ac:dyDescent="0.35">
      <c r="B80" s="40">
        <v>22</v>
      </c>
      <c r="C80" s="38" t="s">
        <v>73</v>
      </c>
      <c r="D80" s="25">
        <v>0</v>
      </c>
      <c r="E80" s="25">
        <v>0</v>
      </c>
      <c r="F80" s="47">
        <f t="shared" si="11"/>
        <v>0</v>
      </c>
      <c r="G80" s="25">
        <f t="shared" si="12"/>
        <v>32805.9</v>
      </c>
      <c r="H80" s="11" t="e">
        <f>+H79</f>
        <v>#DIV/0!</v>
      </c>
      <c r="I80" s="25">
        <f>+I652+0</f>
        <v>0</v>
      </c>
      <c r="J80" s="21"/>
    </row>
    <row r="81" spans="2:10" x14ac:dyDescent="0.35">
      <c r="B81" s="40">
        <v>23</v>
      </c>
      <c r="C81" s="38" t="s">
        <v>80</v>
      </c>
      <c r="D81" s="25">
        <v>0</v>
      </c>
      <c r="E81" s="25">
        <v>0</v>
      </c>
      <c r="F81" s="47">
        <f t="shared" si="11"/>
        <v>0</v>
      </c>
      <c r="G81" s="25">
        <f t="shared" si="12"/>
        <v>32805.9</v>
      </c>
      <c r="H81" s="48" t="e">
        <f t="shared" ref="H81:H86" si="14">((G81-I81)/I81)*100</f>
        <v>#DIV/0!</v>
      </c>
      <c r="I81" s="25">
        <v>0</v>
      </c>
      <c r="J81" s="21"/>
    </row>
    <row r="82" spans="2:10" x14ac:dyDescent="0.35">
      <c r="B82" s="40">
        <v>24</v>
      </c>
      <c r="C82" s="38" t="s">
        <v>75</v>
      </c>
      <c r="D82" s="25">
        <v>0</v>
      </c>
      <c r="E82" s="25">
        <v>0</v>
      </c>
      <c r="F82" s="47">
        <f t="shared" si="11"/>
        <v>0</v>
      </c>
      <c r="G82" s="25">
        <f t="shared" si="12"/>
        <v>32805.9</v>
      </c>
      <c r="H82" s="48" t="e">
        <f t="shared" si="14"/>
        <v>#DIV/0!</v>
      </c>
      <c r="I82" s="25">
        <v>0</v>
      </c>
      <c r="J82" s="21"/>
    </row>
    <row r="83" spans="2:10" x14ac:dyDescent="0.35">
      <c r="B83" s="40">
        <v>25</v>
      </c>
      <c r="C83" s="77" t="s">
        <v>76</v>
      </c>
      <c r="D83" s="25">
        <v>0</v>
      </c>
      <c r="E83" s="25">
        <v>0</v>
      </c>
      <c r="F83" s="47">
        <f t="shared" si="11"/>
        <v>0</v>
      </c>
      <c r="G83" s="25">
        <f t="shared" si="12"/>
        <v>32805.9</v>
      </c>
      <c r="H83" s="48" t="e">
        <f t="shared" si="14"/>
        <v>#DIV/0!</v>
      </c>
      <c r="I83" s="25">
        <f>+I82+0</f>
        <v>0</v>
      </c>
      <c r="J83" s="21"/>
    </row>
    <row r="84" spans="2:10" x14ac:dyDescent="0.35">
      <c r="B84" s="111">
        <v>26</v>
      </c>
      <c r="C84" s="112" t="s">
        <v>77</v>
      </c>
      <c r="D84" s="105">
        <v>0</v>
      </c>
      <c r="E84" s="106">
        <v>0</v>
      </c>
      <c r="F84" s="107">
        <f t="shared" si="11"/>
        <v>0</v>
      </c>
      <c r="G84" s="106">
        <f t="shared" si="12"/>
        <v>32805.9</v>
      </c>
      <c r="H84" s="48" t="e">
        <f t="shared" si="14"/>
        <v>#DIV/0!</v>
      </c>
      <c r="I84" s="25">
        <f>+I83+0</f>
        <v>0</v>
      </c>
      <c r="J84" s="21"/>
    </row>
    <row r="85" spans="2:10" x14ac:dyDescent="0.35">
      <c r="B85" s="111">
        <v>27</v>
      </c>
      <c r="C85" s="77" t="s">
        <v>81</v>
      </c>
      <c r="D85" s="119">
        <v>0</v>
      </c>
      <c r="E85" s="120">
        <v>0</v>
      </c>
      <c r="F85" s="121">
        <f t="shared" si="11"/>
        <v>0</v>
      </c>
      <c r="G85" s="120">
        <f t="shared" si="12"/>
        <v>32805.9</v>
      </c>
      <c r="H85" s="48" t="e">
        <f t="shared" si="14"/>
        <v>#DIV/0!</v>
      </c>
      <c r="I85" s="25">
        <f>+I84+0</f>
        <v>0</v>
      </c>
      <c r="J85" s="21"/>
    </row>
    <row r="86" spans="2:10" x14ac:dyDescent="0.35">
      <c r="B86" s="110">
        <v>28</v>
      </c>
      <c r="C86" s="77" t="s">
        <v>87</v>
      </c>
      <c r="D86" s="108">
        <v>0</v>
      </c>
      <c r="E86" s="108">
        <v>0</v>
      </c>
      <c r="F86" s="109">
        <f t="shared" si="11"/>
        <v>0</v>
      </c>
      <c r="G86" s="109">
        <f t="shared" si="12"/>
        <v>32805.9</v>
      </c>
      <c r="H86" s="48" t="e">
        <f t="shared" si="14"/>
        <v>#DIV/0!</v>
      </c>
      <c r="I86" s="25">
        <f>+I85+0</f>
        <v>0</v>
      </c>
      <c r="J86" s="21"/>
    </row>
    <row r="87" spans="2:10" hidden="1" x14ac:dyDescent="0.35">
      <c r="B87" s="40">
        <v>29</v>
      </c>
      <c r="C87" s="16" t="s">
        <v>30</v>
      </c>
      <c r="D87" s="23"/>
      <c r="E87" s="23"/>
      <c r="F87" s="24">
        <f t="shared" ref="F87:F100" si="15">+E87+D87</f>
        <v>0</v>
      </c>
      <c r="G87" s="23">
        <f t="shared" ref="G87:G90" si="16">+G86+F87</f>
        <v>32805.9</v>
      </c>
      <c r="H87" s="11">
        <v>0</v>
      </c>
      <c r="I87" s="25">
        <v>0</v>
      </c>
      <c r="J87" s="21"/>
    </row>
    <row r="88" spans="2:10" hidden="1" x14ac:dyDescent="0.35">
      <c r="B88" s="40">
        <v>30</v>
      </c>
      <c r="C88" s="16" t="s">
        <v>31</v>
      </c>
      <c r="D88" s="23"/>
      <c r="E88" s="23"/>
      <c r="F88" s="24">
        <f t="shared" si="15"/>
        <v>0</v>
      </c>
      <c r="G88" s="23">
        <f t="shared" si="16"/>
        <v>32805.9</v>
      </c>
      <c r="H88" s="11">
        <v>0</v>
      </c>
      <c r="I88" s="25">
        <v>0</v>
      </c>
      <c r="J88" s="21"/>
    </row>
    <row r="89" spans="2:10" hidden="1" x14ac:dyDescent="0.35">
      <c r="B89" s="40">
        <v>31</v>
      </c>
      <c r="C89" s="17" t="s">
        <v>32</v>
      </c>
      <c r="D89" s="23"/>
      <c r="E89" s="23"/>
      <c r="F89" s="24">
        <f t="shared" si="15"/>
        <v>0</v>
      </c>
      <c r="G89" s="23">
        <f t="shared" si="16"/>
        <v>32805.9</v>
      </c>
      <c r="H89" s="11">
        <v>0</v>
      </c>
      <c r="I89" s="25">
        <v>0</v>
      </c>
      <c r="J89" s="21"/>
    </row>
    <row r="90" spans="2:10" hidden="1" x14ac:dyDescent="0.35">
      <c r="B90" s="40">
        <v>32</v>
      </c>
      <c r="C90" s="27" t="s">
        <v>33</v>
      </c>
      <c r="D90" s="28"/>
      <c r="E90" s="28"/>
      <c r="F90" s="29">
        <f t="shared" si="15"/>
        <v>0</v>
      </c>
      <c r="G90" s="28">
        <f t="shared" si="16"/>
        <v>32805.9</v>
      </c>
      <c r="H90" s="30">
        <v>0</v>
      </c>
      <c r="I90" s="31">
        <v>0</v>
      </c>
      <c r="J90" s="21"/>
    </row>
    <row r="91" spans="2:10" hidden="1" x14ac:dyDescent="0.35">
      <c r="B91" s="40">
        <v>33</v>
      </c>
      <c r="C91" s="16" t="s">
        <v>30</v>
      </c>
      <c r="D91" s="23"/>
      <c r="E91" s="23"/>
      <c r="F91" s="24">
        <f t="shared" si="15"/>
        <v>0</v>
      </c>
      <c r="G91" s="23">
        <f>+G83+F91</f>
        <v>32805.9</v>
      </c>
      <c r="H91" s="11">
        <v>0</v>
      </c>
      <c r="I91" s="25">
        <v>0</v>
      </c>
      <c r="J91" s="21"/>
    </row>
    <row r="92" spans="2:10" hidden="1" x14ac:dyDescent="0.35">
      <c r="B92" s="40">
        <v>34</v>
      </c>
      <c r="C92" s="16" t="s">
        <v>27</v>
      </c>
      <c r="D92" s="23"/>
      <c r="E92" s="23"/>
      <c r="F92" s="24">
        <f t="shared" si="15"/>
        <v>0</v>
      </c>
      <c r="G92" s="23">
        <f t="shared" ref="G92:G96" si="17">+G91+F92</f>
        <v>32805.9</v>
      </c>
      <c r="H92" s="11">
        <v>0</v>
      </c>
      <c r="I92" s="25">
        <v>0</v>
      </c>
      <c r="J92" s="21"/>
    </row>
    <row r="93" spans="2:10" hidden="1" x14ac:dyDescent="0.35">
      <c r="B93" s="40">
        <v>35</v>
      </c>
      <c r="C93" s="16" t="s">
        <v>28</v>
      </c>
      <c r="D93" s="23"/>
      <c r="E93" s="23"/>
      <c r="F93" s="24">
        <f t="shared" si="15"/>
        <v>0</v>
      </c>
      <c r="G93" s="23">
        <f t="shared" si="17"/>
        <v>32805.9</v>
      </c>
      <c r="H93" s="11">
        <v>0</v>
      </c>
      <c r="I93" s="25">
        <v>0</v>
      </c>
      <c r="J93" s="21"/>
    </row>
    <row r="94" spans="2:10" hidden="1" x14ac:dyDescent="0.35">
      <c r="B94" s="40">
        <v>36</v>
      </c>
      <c r="C94" s="16" t="s">
        <v>29</v>
      </c>
      <c r="D94" s="23"/>
      <c r="E94" s="23"/>
      <c r="F94" s="24">
        <f t="shared" si="15"/>
        <v>0</v>
      </c>
      <c r="G94" s="23">
        <f t="shared" si="17"/>
        <v>32805.9</v>
      </c>
      <c r="H94" s="11">
        <v>0</v>
      </c>
      <c r="I94" s="25">
        <v>0</v>
      </c>
      <c r="J94" s="21"/>
    </row>
    <row r="95" spans="2:10" hidden="1" x14ac:dyDescent="0.35">
      <c r="B95" s="40">
        <v>37</v>
      </c>
      <c r="C95" s="16" t="s">
        <v>30</v>
      </c>
      <c r="D95" s="23"/>
      <c r="E95" s="23"/>
      <c r="F95" s="24">
        <f t="shared" si="15"/>
        <v>0</v>
      </c>
      <c r="G95" s="23">
        <f t="shared" si="17"/>
        <v>32805.9</v>
      </c>
      <c r="H95" s="11">
        <v>0</v>
      </c>
      <c r="I95" s="25">
        <v>0</v>
      </c>
      <c r="J95" s="21"/>
    </row>
    <row r="96" spans="2:10" hidden="1" x14ac:dyDescent="0.35">
      <c r="B96" s="40">
        <v>38</v>
      </c>
      <c r="C96" s="16" t="s">
        <v>31</v>
      </c>
      <c r="D96" s="23"/>
      <c r="E96" s="23"/>
      <c r="F96" s="24">
        <f t="shared" si="15"/>
        <v>0</v>
      </c>
      <c r="G96" s="23">
        <f t="shared" si="17"/>
        <v>32805.9</v>
      </c>
      <c r="H96" s="11">
        <v>0</v>
      </c>
      <c r="I96" s="25">
        <v>0</v>
      </c>
      <c r="J96" s="21"/>
    </row>
    <row r="97" spans="2:10" hidden="1" x14ac:dyDescent="0.35">
      <c r="B97" s="40">
        <v>39</v>
      </c>
      <c r="C97" s="16" t="s">
        <v>30</v>
      </c>
      <c r="D97" s="23"/>
      <c r="E97" s="23"/>
      <c r="F97" s="24">
        <f t="shared" si="15"/>
        <v>0</v>
      </c>
      <c r="G97" s="23">
        <f>+G80+F97</f>
        <v>32805.9</v>
      </c>
      <c r="H97" s="11">
        <v>0</v>
      </c>
      <c r="I97" s="25">
        <v>0</v>
      </c>
      <c r="J97" s="21"/>
    </row>
    <row r="98" spans="2:10" hidden="1" x14ac:dyDescent="0.35">
      <c r="B98" s="40">
        <v>40</v>
      </c>
      <c r="C98" s="16" t="s">
        <v>31</v>
      </c>
      <c r="D98" s="23"/>
      <c r="E98" s="23"/>
      <c r="F98" s="24">
        <f t="shared" si="15"/>
        <v>0</v>
      </c>
      <c r="G98" s="23">
        <f t="shared" ref="G98:G100" si="18">+G97+F98</f>
        <v>32805.9</v>
      </c>
      <c r="H98" s="11">
        <v>0</v>
      </c>
      <c r="I98" s="25">
        <v>0</v>
      </c>
      <c r="J98" s="21"/>
    </row>
    <row r="99" spans="2:10" hidden="1" x14ac:dyDescent="0.35">
      <c r="B99" s="40">
        <v>41</v>
      </c>
      <c r="C99" s="17" t="s">
        <v>32</v>
      </c>
      <c r="D99" s="23"/>
      <c r="E99" s="23"/>
      <c r="F99" s="24">
        <f t="shared" si="15"/>
        <v>0</v>
      </c>
      <c r="G99" s="23">
        <f t="shared" si="18"/>
        <v>32805.9</v>
      </c>
      <c r="H99" s="11">
        <v>0</v>
      </c>
      <c r="I99" s="25">
        <v>0</v>
      </c>
      <c r="J99" s="21"/>
    </row>
    <row r="100" spans="2:10" hidden="1" x14ac:dyDescent="0.35">
      <c r="B100" s="40">
        <v>42</v>
      </c>
      <c r="C100" s="27" t="s">
        <v>33</v>
      </c>
      <c r="D100" s="28"/>
      <c r="E100" s="28"/>
      <c r="F100" s="29">
        <f t="shared" si="15"/>
        <v>0</v>
      </c>
      <c r="G100" s="28">
        <f t="shared" si="18"/>
        <v>32805.9</v>
      </c>
      <c r="H100" s="30">
        <v>0</v>
      </c>
      <c r="I100" s="31">
        <v>0</v>
      </c>
      <c r="J100" s="21"/>
    </row>
    <row r="101" spans="2:10" x14ac:dyDescent="0.35">
      <c r="B101" s="5"/>
      <c r="C101" s="5"/>
      <c r="D101" s="6"/>
      <c r="E101" s="6"/>
      <c r="F101" s="6"/>
      <c r="G101" s="6"/>
      <c r="H101" s="7"/>
      <c r="I101" s="6"/>
      <c r="J101" s="5"/>
    </row>
    <row r="102" spans="2:10" x14ac:dyDescent="0.35">
      <c r="B102" s="8" t="s">
        <v>34</v>
      </c>
      <c r="C102" s="5"/>
      <c r="D102" s="5"/>
      <c r="E102" s="5"/>
      <c r="F102" s="5"/>
      <c r="G102" s="5"/>
      <c r="H102" s="5"/>
      <c r="I102" s="5"/>
      <c r="J102" s="5"/>
    </row>
    <row r="103" spans="2:10" x14ac:dyDescent="0.35">
      <c r="B103" s="9" t="s">
        <v>35</v>
      </c>
      <c r="C103" s="5"/>
      <c r="D103" s="5"/>
      <c r="E103" s="5"/>
      <c r="F103" s="5"/>
      <c r="G103" s="5"/>
      <c r="H103" s="5"/>
      <c r="I103" s="5"/>
      <c r="J103" s="5"/>
    </row>
    <row r="104" spans="2:10" x14ac:dyDescent="0.35">
      <c r="B104" s="9" t="s">
        <v>36</v>
      </c>
      <c r="C104" s="5"/>
      <c r="D104" s="5"/>
      <c r="E104" s="5"/>
      <c r="F104" s="5"/>
      <c r="G104" s="5"/>
      <c r="H104" s="5"/>
      <c r="I104" s="5"/>
      <c r="J104" s="5"/>
    </row>
    <row r="105" spans="2:10" x14ac:dyDescent="0.35">
      <c r="B105" s="9" t="s">
        <v>37</v>
      </c>
      <c r="C105" s="5"/>
      <c r="D105" s="5"/>
      <c r="E105" s="5"/>
      <c r="F105" s="5"/>
      <c r="G105" s="5"/>
      <c r="H105" s="5"/>
      <c r="I105" s="5"/>
      <c r="J105" s="5"/>
    </row>
    <row r="106" spans="2:10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0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0" ht="18.5" x14ac:dyDescent="0.45">
      <c r="B108" s="10"/>
      <c r="C108" s="10"/>
      <c r="D108" s="178" t="s">
        <v>40</v>
      </c>
      <c r="E108" s="178"/>
      <c r="F108" s="178"/>
      <c r="G108" s="178"/>
      <c r="H108" s="178"/>
      <c r="I108" s="178"/>
      <c r="J108" s="10"/>
    </row>
    <row r="109" spans="2:10" s="35" customFormat="1" ht="16" x14ac:dyDescent="0.4">
      <c r="B109" s="26"/>
      <c r="C109" s="26"/>
      <c r="D109" s="179" t="s">
        <v>47</v>
      </c>
      <c r="E109" s="179"/>
      <c r="F109" s="179"/>
      <c r="G109" s="179"/>
      <c r="H109" s="179"/>
      <c r="I109" s="179"/>
      <c r="J109" s="26"/>
    </row>
    <row r="110" spans="2:10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0" ht="14.4" customHeight="1" x14ac:dyDescent="0.35">
      <c r="B111" s="14"/>
      <c r="C111" s="15"/>
      <c r="D111" s="174" t="s">
        <v>6</v>
      </c>
      <c r="E111" s="175"/>
      <c r="F111" s="175"/>
      <c r="G111" s="176"/>
      <c r="H111" s="166" t="s">
        <v>7</v>
      </c>
      <c r="I111" s="167"/>
      <c r="J111" s="4"/>
    </row>
    <row r="112" spans="2:10" x14ac:dyDescent="0.35">
      <c r="B112" s="12"/>
      <c r="C112" s="13"/>
      <c r="D112" s="170" t="s">
        <v>9</v>
      </c>
      <c r="E112" s="171"/>
      <c r="F112" s="171"/>
      <c r="G112" s="172"/>
      <c r="H112" s="168"/>
      <c r="I112" s="169"/>
      <c r="J112" s="4"/>
    </row>
    <row r="113" spans="2:10" ht="14.4" customHeight="1" x14ac:dyDescent="0.35">
      <c r="B113" s="133" t="s">
        <v>10</v>
      </c>
      <c r="C113" s="135" t="s">
        <v>11</v>
      </c>
      <c r="D113" s="18" t="s">
        <v>12</v>
      </c>
      <c r="E113" s="18" t="s">
        <v>13</v>
      </c>
      <c r="F113" s="18" t="s">
        <v>14</v>
      </c>
      <c r="G113" s="18" t="s">
        <v>15</v>
      </c>
      <c r="H113" s="161" t="s">
        <v>16</v>
      </c>
      <c r="I113" s="135" t="s">
        <v>17</v>
      </c>
      <c r="J113" s="19"/>
    </row>
    <row r="114" spans="2:10" ht="40.4" customHeight="1" x14ac:dyDescent="0.35">
      <c r="B114" s="134"/>
      <c r="C114" s="136"/>
      <c r="D114" s="163" t="s">
        <v>20</v>
      </c>
      <c r="E114" s="164"/>
      <c r="F114" s="164"/>
      <c r="G114" s="165"/>
      <c r="H114" s="162"/>
      <c r="I114" s="136"/>
      <c r="J114" s="19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4" t="s">
        <v>48</v>
      </c>
      <c r="I115" s="20">
        <v>0</v>
      </c>
      <c r="J115" s="21"/>
    </row>
    <row r="116" spans="2:10" x14ac:dyDescent="0.35">
      <c r="B116" s="40">
        <v>5</v>
      </c>
      <c r="C116" s="38" t="s">
        <v>22</v>
      </c>
      <c r="D116" s="25">
        <v>245586</v>
      </c>
      <c r="E116" s="25">
        <v>0</v>
      </c>
      <c r="F116" s="47">
        <f>+E116+D116</f>
        <v>245586</v>
      </c>
      <c r="G116" s="25">
        <f>+G115+F116</f>
        <v>245586</v>
      </c>
      <c r="H116" s="48">
        <f t="shared" ref="H116:H122" si="19">((G116-I116)/I116)*100</f>
        <v>381.03184863086142</v>
      </c>
      <c r="I116" s="25">
        <v>51054</v>
      </c>
      <c r="J116" s="21"/>
    </row>
    <row r="117" spans="2:10" x14ac:dyDescent="0.35">
      <c r="B117" s="40">
        <v>6</v>
      </c>
      <c r="C117" s="38" t="s">
        <v>23</v>
      </c>
      <c r="D117" s="25">
        <v>297586.5</v>
      </c>
      <c r="E117" s="25">
        <v>0</v>
      </c>
      <c r="F117" s="47">
        <f>+E117+D117</f>
        <v>297586.5</v>
      </c>
      <c r="G117" s="25">
        <f t="shared" ref="G117" si="20">+G116+F117</f>
        <v>543172.5</v>
      </c>
      <c r="H117" s="48">
        <f t="shared" si="19"/>
        <v>27.480294355449107</v>
      </c>
      <c r="I117" s="25">
        <f>+I116+375029.5</f>
        <v>426083.5</v>
      </c>
      <c r="J117" s="21"/>
    </row>
    <row r="118" spans="2:10" x14ac:dyDescent="0.35">
      <c r="B118" s="40">
        <v>7</v>
      </c>
      <c r="C118" s="38" t="s">
        <v>24</v>
      </c>
      <c r="D118" s="25">
        <v>309034</v>
      </c>
      <c r="E118" s="25">
        <v>217067</v>
      </c>
      <c r="F118" s="47">
        <f t="shared" ref="F118:F139" si="21">+E118+D118</f>
        <v>526101</v>
      </c>
      <c r="G118" s="25">
        <f>+G117+F118</f>
        <v>1069273.5</v>
      </c>
      <c r="H118" s="48">
        <f t="shared" si="19"/>
        <v>38.350121300339637</v>
      </c>
      <c r="I118" s="25">
        <f>+I117+346791.5</f>
        <v>772875</v>
      </c>
      <c r="J118" s="21"/>
    </row>
    <row r="119" spans="2:10" x14ac:dyDescent="0.35">
      <c r="B119" s="40">
        <v>8</v>
      </c>
      <c r="C119" s="38" t="s">
        <v>25</v>
      </c>
      <c r="D119" s="25">
        <v>480779</v>
      </c>
      <c r="E119" s="25">
        <v>0</v>
      </c>
      <c r="F119" s="47">
        <f t="shared" si="21"/>
        <v>480779</v>
      </c>
      <c r="G119" s="25">
        <f t="shared" ref="G119:G139" si="22">+G118+F119</f>
        <v>1550052.5</v>
      </c>
      <c r="H119" s="48">
        <f t="shared" si="19"/>
        <v>15.603005874671194</v>
      </c>
      <c r="I119" s="25">
        <v>1340841</v>
      </c>
      <c r="J119" s="21"/>
    </row>
    <row r="120" spans="2:10" x14ac:dyDescent="0.35">
      <c r="B120" s="40">
        <v>9</v>
      </c>
      <c r="C120" s="38" t="s">
        <v>26</v>
      </c>
      <c r="D120" s="25">
        <v>212970.5</v>
      </c>
      <c r="E120" s="25">
        <v>0</v>
      </c>
      <c r="F120" s="47">
        <f t="shared" si="21"/>
        <v>212970.5</v>
      </c>
      <c r="G120" s="25">
        <f t="shared" si="22"/>
        <v>1763023</v>
      </c>
      <c r="H120" s="48">
        <f t="shared" si="19"/>
        <v>10.243301227918018</v>
      </c>
      <c r="I120" s="25">
        <f>+I119+258370</f>
        <v>1599211</v>
      </c>
      <c r="J120" s="21"/>
    </row>
    <row r="121" spans="2:10" x14ac:dyDescent="0.35">
      <c r="B121" s="40">
        <v>10</v>
      </c>
      <c r="C121" s="38" t="s">
        <v>62</v>
      </c>
      <c r="D121" s="25">
        <v>441354</v>
      </c>
      <c r="E121" s="25">
        <v>0</v>
      </c>
      <c r="F121" s="47">
        <f t="shared" si="21"/>
        <v>441354</v>
      </c>
      <c r="G121" s="25">
        <f t="shared" si="22"/>
        <v>2204377</v>
      </c>
      <c r="H121" s="48">
        <f t="shared" si="19"/>
        <v>1.3536257265442002</v>
      </c>
      <c r="I121" s="25">
        <f>+I120+575725.5</f>
        <v>2174936.5</v>
      </c>
      <c r="J121" s="21"/>
    </row>
    <row r="122" spans="2:10" x14ac:dyDescent="0.35">
      <c r="B122" s="40">
        <v>11</v>
      </c>
      <c r="C122" s="38" t="s">
        <v>63</v>
      </c>
      <c r="D122" s="25">
        <v>400342.5</v>
      </c>
      <c r="E122" s="25">
        <v>0</v>
      </c>
      <c r="F122" s="47">
        <f t="shared" si="21"/>
        <v>400342.5</v>
      </c>
      <c r="G122" s="25">
        <f>+G121+F122</f>
        <v>2604719.5</v>
      </c>
      <c r="H122" s="48">
        <f t="shared" si="19"/>
        <v>-6.9453236865195169</v>
      </c>
      <c r="I122" s="25">
        <f>+I121+624191.5</f>
        <v>2799128</v>
      </c>
      <c r="J122" s="21"/>
    </row>
    <row r="123" spans="2:10" x14ac:dyDescent="0.35">
      <c r="B123" s="40">
        <v>12</v>
      </c>
      <c r="C123" s="38" t="s">
        <v>78</v>
      </c>
      <c r="D123" s="25">
        <v>272234</v>
      </c>
      <c r="E123" s="25">
        <v>0</v>
      </c>
      <c r="F123" s="47">
        <f t="shared" si="21"/>
        <v>272234</v>
      </c>
      <c r="G123" s="25">
        <f t="shared" si="22"/>
        <v>2876953.5</v>
      </c>
      <c r="H123" s="48">
        <f>((G123-I123)/I123)*100</f>
        <v>-11.447932805223703</v>
      </c>
      <c r="I123" s="25">
        <f>+I122+449755.5</f>
        <v>3248883.5</v>
      </c>
      <c r="J123" s="21"/>
    </row>
    <row r="124" spans="2:10" x14ac:dyDescent="0.35">
      <c r="B124" s="40">
        <v>13</v>
      </c>
      <c r="C124" s="38" t="s">
        <v>64</v>
      </c>
      <c r="D124" s="25">
        <v>143143</v>
      </c>
      <c r="E124" s="25">
        <v>0</v>
      </c>
      <c r="F124" s="47">
        <f t="shared" si="21"/>
        <v>143143</v>
      </c>
      <c r="G124" s="25">
        <f t="shared" si="22"/>
        <v>3020096.5</v>
      </c>
      <c r="H124" s="48">
        <f>((G124-I124)/I124)*100</f>
        <v>-14.419863138497391</v>
      </c>
      <c r="I124" s="25">
        <v>3528969</v>
      </c>
      <c r="J124" s="21"/>
    </row>
    <row r="125" spans="2:10" x14ac:dyDescent="0.35">
      <c r="B125" s="40">
        <v>14</v>
      </c>
      <c r="C125" s="58" t="s">
        <v>65</v>
      </c>
      <c r="D125" s="25">
        <v>79621</v>
      </c>
      <c r="E125" s="25">
        <v>0</v>
      </c>
      <c r="F125" s="47">
        <f t="shared" si="21"/>
        <v>79621</v>
      </c>
      <c r="G125" s="25">
        <f t="shared" si="22"/>
        <v>3099717.5</v>
      </c>
      <c r="H125" s="48">
        <f>((G125-I125)/I125)*100</f>
        <v>-15.28390336292062</v>
      </c>
      <c r="I125" s="25">
        <f>+I124+129978.5</f>
        <v>3658947.5</v>
      </c>
      <c r="J125" s="21"/>
    </row>
    <row r="126" spans="2:10" x14ac:dyDescent="0.35">
      <c r="B126" s="40">
        <v>15</v>
      </c>
      <c r="C126" s="38" t="s">
        <v>66</v>
      </c>
      <c r="D126" s="25">
        <v>47870</v>
      </c>
      <c r="E126" s="25">
        <v>0</v>
      </c>
      <c r="F126" s="47">
        <f t="shared" si="21"/>
        <v>47870</v>
      </c>
      <c r="G126" s="25">
        <f t="shared" si="22"/>
        <v>3147587.5</v>
      </c>
      <c r="H126" s="48">
        <f>((G126-I126)/I126)*100</f>
        <v>-16.210919536634641</v>
      </c>
      <c r="I126" s="25">
        <f>+I125+97613</f>
        <v>3756560.5</v>
      </c>
      <c r="J126" s="21"/>
    </row>
    <row r="127" spans="2:10" x14ac:dyDescent="0.35">
      <c r="B127" s="40">
        <v>16</v>
      </c>
      <c r="C127" s="38" t="s">
        <v>67</v>
      </c>
      <c r="D127" s="25">
        <v>81430.5</v>
      </c>
      <c r="E127" s="25">
        <v>0</v>
      </c>
      <c r="F127" s="47">
        <f t="shared" si="21"/>
        <v>81430.5</v>
      </c>
      <c r="G127" s="25">
        <f t="shared" si="22"/>
        <v>3229018</v>
      </c>
      <c r="H127" s="48">
        <f t="shared" ref="H127:H139" si="23">((G127-I127)/I127)*100</f>
        <v>-15.235111001615353</v>
      </c>
      <c r="I127" s="25">
        <v>3809381.5</v>
      </c>
      <c r="J127" s="21"/>
    </row>
    <row r="128" spans="2:10" x14ac:dyDescent="0.35">
      <c r="B128" s="40">
        <v>17</v>
      </c>
      <c r="C128" s="38" t="s">
        <v>68</v>
      </c>
      <c r="D128" s="25">
        <v>0</v>
      </c>
      <c r="E128" s="25">
        <v>0</v>
      </c>
      <c r="F128" s="47">
        <f t="shared" si="21"/>
        <v>0</v>
      </c>
      <c r="G128" s="25">
        <f t="shared" si="22"/>
        <v>3229018</v>
      </c>
      <c r="H128" s="48">
        <f t="shared" si="23"/>
        <v>-16.888202514703423</v>
      </c>
      <c r="I128" s="25">
        <v>3885150</v>
      </c>
      <c r="J128" s="21"/>
    </row>
    <row r="129" spans="2:10" x14ac:dyDescent="0.35">
      <c r="B129" s="40">
        <v>18</v>
      </c>
      <c r="C129" s="38" t="s">
        <v>69</v>
      </c>
      <c r="D129" s="25">
        <v>0</v>
      </c>
      <c r="E129" s="25">
        <v>0</v>
      </c>
      <c r="F129" s="47">
        <f t="shared" si="21"/>
        <v>0</v>
      </c>
      <c r="G129" s="25">
        <f t="shared" si="22"/>
        <v>3229018</v>
      </c>
      <c r="H129" s="48">
        <f t="shared" si="23"/>
        <v>-18.347012892957551</v>
      </c>
      <c r="I129" s="25">
        <f>+I128+69412</f>
        <v>3954562</v>
      </c>
      <c r="J129" s="21"/>
    </row>
    <row r="130" spans="2:10" x14ac:dyDescent="0.35">
      <c r="B130" s="40">
        <v>19</v>
      </c>
      <c r="C130" s="38" t="s">
        <v>70</v>
      </c>
      <c r="D130" s="25">
        <v>0</v>
      </c>
      <c r="E130" s="25">
        <v>0</v>
      </c>
      <c r="F130" s="47">
        <f t="shared" si="21"/>
        <v>0</v>
      </c>
      <c r="G130" s="25">
        <f t="shared" si="22"/>
        <v>3229018</v>
      </c>
      <c r="H130" s="48">
        <f t="shared" si="23"/>
        <v>-18.408167122591234</v>
      </c>
      <c r="I130" s="25">
        <f>+I129+2964</f>
        <v>3957526</v>
      </c>
      <c r="J130" s="21"/>
    </row>
    <row r="131" spans="2:10" x14ac:dyDescent="0.35">
      <c r="B131" s="40">
        <v>20</v>
      </c>
      <c r="C131" s="38" t="s">
        <v>85</v>
      </c>
      <c r="D131" s="25">
        <v>0</v>
      </c>
      <c r="E131" s="25">
        <v>0</v>
      </c>
      <c r="F131" s="47">
        <f t="shared" si="21"/>
        <v>0</v>
      </c>
      <c r="G131" s="25">
        <f t="shared" si="22"/>
        <v>3229018</v>
      </c>
      <c r="H131" s="48">
        <f t="shared" si="23"/>
        <v>-18.412599510680462</v>
      </c>
      <c r="I131" s="25">
        <f>+I130+215</f>
        <v>3957741</v>
      </c>
      <c r="J131" s="21"/>
    </row>
    <row r="132" spans="2:10" x14ac:dyDescent="0.35">
      <c r="B132" s="40">
        <v>21</v>
      </c>
      <c r="C132" s="38" t="s">
        <v>72</v>
      </c>
      <c r="D132" s="25">
        <v>0</v>
      </c>
      <c r="E132" s="25">
        <v>0</v>
      </c>
      <c r="F132" s="47">
        <f t="shared" si="21"/>
        <v>0</v>
      </c>
      <c r="G132" s="25">
        <f t="shared" si="22"/>
        <v>3229018</v>
      </c>
      <c r="H132" s="48">
        <f t="shared" si="23"/>
        <v>-18.535031381119964</v>
      </c>
      <c r="I132" s="25">
        <f>+I131+5948</f>
        <v>3963689</v>
      </c>
      <c r="J132" s="21"/>
    </row>
    <row r="133" spans="2:10" x14ac:dyDescent="0.35">
      <c r="B133" s="40">
        <v>22</v>
      </c>
      <c r="C133" s="38" t="s">
        <v>73</v>
      </c>
      <c r="D133" s="25">
        <v>1484.5</v>
      </c>
      <c r="E133" s="25">
        <v>0</v>
      </c>
      <c r="F133" s="47">
        <f t="shared" si="21"/>
        <v>1484.5</v>
      </c>
      <c r="G133" s="25">
        <f t="shared" si="22"/>
        <v>3230502.5</v>
      </c>
      <c r="H133" s="48">
        <f t="shared" si="23"/>
        <v>-18.702489720169932</v>
      </c>
      <c r="I133" s="25">
        <f>+I132+9990.5</f>
        <v>3973679.5</v>
      </c>
      <c r="J133" s="21"/>
    </row>
    <row r="134" spans="2:10" x14ac:dyDescent="0.35">
      <c r="B134" s="40">
        <v>23</v>
      </c>
      <c r="C134" s="38" t="s">
        <v>80</v>
      </c>
      <c r="D134" s="25">
        <v>0</v>
      </c>
      <c r="E134" s="25">
        <v>0</v>
      </c>
      <c r="F134" s="47">
        <f t="shared" si="21"/>
        <v>0</v>
      </c>
      <c r="G134" s="25">
        <f t="shared" si="22"/>
        <v>3230502.5</v>
      </c>
      <c r="H134" s="48">
        <f t="shared" si="23"/>
        <v>-18.702489720169932</v>
      </c>
      <c r="I134" s="25">
        <f>+I133+0</f>
        <v>3973679.5</v>
      </c>
      <c r="J134" s="21"/>
    </row>
    <row r="135" spans="2:10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21"/>
        <v>0</v>
      </c>
      <c r="G135" s="25">
        <f t="shared" si="22"/>
        <v>3230502.5</v>
      </c>
      <c r="H135" s="48">
        <f t="shared" si="23"/>
        <v>-24.078398486323955</v>
      </c>
      <c r="I135" s="25">
        <f>+I134+281371.02</f>
        <v>4255050.5199999996</v>
      </c>
      <c r="J135" s="21"/>
    </row>
    <row r="136" spans="2:10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21"/>
        <v>0</v>
      </c>
      <c r="G136" s="25">
        <f t="shared" si="22"/>
        <v>3230502.5</v>
      </c>
      <c r="H136" s="48">
        <f t="shared" si="23"/>
        <v>-24.078398486323955</v>
      </c>
      <c r="I136" s="25">
        <f>+I135+0</f>
        <v>4255050.5199999996</v>
      </c>
      <c r="J136" s="21"/>
    </row>
    <row r="137" spans="2:10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21"/>
        <v>0</v>
      </c>
      <c r="G137" s="106">
        <f t="shared" si="22"/>
        <v>3230502.5</v>
      </c>
      <c r="H137" s="48">
        <f t="shared" si="23"/>
        <v>-24.078398486323955</v>
      </c>
      <c r="I137" s="25">
        <f>+I136+0</f>
        <v>4255050.5199999996</v>
      </c>
      <c r="J137" s="21"/>
    </row>
    <row r="138" spans="2:10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21"/>
        <v>0</v>
      </c>
      <c r="G138" s="120">
        <f t="shared" si="22"/>
        <v>3230502.5</v>
      </c>
      <c r="H138" s="48">
        <f t="shared" si="23"/>
        <v>-24.078398486323955</v>
      </c>
      <c r="I138" s="25">
        <f>+I137+0</f>
        <v>4255050.5199999996</v>
      </c>
      <c r="J138" s="21"/>
    </row>
    <row r="139" spans="2:10" x14ac:dyDescent="0.35">
      <c r="B139" s="110">
        <v>28</v>
      </c>
      <c r="C139" s="77" t="s">
        <v>87</v>
      </c>
      <c r="D139" s="108">
        <v>0</v>
      </c>
      <c r="E139" s="108">
        <v>281501</v>
      </c>
      <c r="F139" s="109">
        <f t="shared" si="21"/>
        <v>281501</v>
      </c>
      <c r="G139" s="109">
        <f t="shared" si="22"/>
        <v>3512003.5</v>
      </c>
      <c r="H139" s="48">
        <f t="shared" si="23"/>
        <v>-17.462707352297187</v>
      </c>
      <c r="I139" s="25">
        <f>+I138+0</f>
        <v>4255050.5199999996</v>
      </c>
      <c r="J139" s="21"/>
    </row>
    <row r="140" spans="2:10" hidden="1" x14ac:dyDescent="0.35">
      <c r="B140" s="40">
        <v>29</v>
      </c>
      <c r="C140" s="16" t="s">
        <v>29</v>
      </c>
      <c r="D140" s="23"/>
      <c r="E140" s="23"/>
      <c r="F140" s="24">
        <f t="shared" ref="F140:F153" si="24">+E140+D140</f>
        <v>0</v>
      </c>
      <c r="G140" s="23">
        <f>+G132+F140</f>
        <v>3229018</v>
      </c>
      <c r="H140" s="11">
        <v>0</v>
      </c>
      <c r="I140" s="25">
        <v>0</v>
      </c>
      <c r="J140" s="21"/>
    </row>
    <row r="141" spans="2:10" hidden="1" x14ac:dyDescent="0.35">
      <c r="B141" s="40">
        <v>30</v>
      </c>
      <c r="C141" s="16" t="s">
        <v>27</v>
      </c>
      <c r="D141" s="23"/>
      <c r="E141" s="23"/>
      <c r="F141" s="24">
        <f t="shared" ref="F141:F147" si="25">+E141+D141</f>
        <v>0</v>
      </c>
      <c r="G141" s="23">
        <f t="shared" ref="G141:G147" si="26">+G140+F141</f>
        <v>3229018</v>
      </c>
      <c r="H141" s="11">
        <v>0</v>
      </c>
      <c r="I141" s="25">
        <v>0</v>
      </c>
      <c r="J141" s="21"/>
    </row>
    <row r="142" spans="2:10" hidden="1" x14ac:dyDescent="0.35">
      <c r="B142" s="40">
        <v>31</v>
      </c>
      <c r="C142" s="16" t="s">
        <v>28</v>
      </c>
      <c r="D142" s="23"/>
      <c r="E142" s="23"/>
      <c r="F142" s="24">
        <f t="shared" si="25"/>
        <v>0</v>
      </c>
      <c r="G142" s="23">
        <f t="shared" si="26"/>
        <v>3229018</v>
      </c>
      <c r="H142" s="11">
        <v>0</v>
      </c>
      <c r="I142" s="25">
        <v>0</v>
      </c>
      <c r="J142" s="21"/>
    </row>
    <row r="143" spans="2:10" hidden="1" x14ac:dyDescent="0.35">
      <c r="B143" s="40">
        <v>32</v>
      </c>
      <c r="C143" s="16" t="s">
        <v>29</v>
      </c>
      <c r="D143" s="23"/>
      <c r="E143" s="23"/>
      <c r="F143" s="24">
        <f t="shared" si="25"/>
        <v>0</v>
      </c>
      <c r="G143" s="23">
        <f t="shared" si="26"/>
        <v>3229018</v>
      </c>
      <c r="H143" s="11">
        <v>0</v>
      </c>
      <c r="I143" s="25">
        <v>0</v>
      </c>
      <c r="J143" s="21"/>
    </row>
    <row r="144" spans="2:10" hidden="1" x14ac:dyDescent="0.35">
      <c r="B144" s="40">
        <v>33</v>
      </c>
      <c r="C144" s="16" t="s">
        <v>30</v>
      </c>
      <c r="D144" s="23"/>
      <c r="E144" s="23"/>
      <c r="F144" s="24">
        <f t="shared" si="25"/>
        <v>0</v>
      </c>
      <c r="G144" s="23">
        <f t="shared" si="26"/>
        <v>3229018</v>
      </c>
      <c r="H144" s="11">
        <v>0</v>
      </c>
      <c r="I144" s="25">
        <v>0</v>
      </c>
      <c r="J144" s="21"/>
    </row>
    <row r="145" spans="2:10" hidden="1" x14ac:dyDescent="0.35">
      <c r="B145" s="40">
        <v>34</v>
      </c>
      <c r="C145" s="16" t="s">
        <v>31</v>
      </c>
      <c r="D145" s="23"/>
      <c r="E145" s="23"/>
      <c r="F145" s="24">
        <f t="shared" si="25"/>
        <v>0</v>
      </c>
      <c r="G145" s="23">
        <f t="shared" si="26"/>
        <v>3229018</v>
      </c>
      <c r="H145" s="11">
        <v>0</v>
      </c>
      <c r="I145" s="25">
        <v>0</v>
      </c>
      <c r="J145" s="21"/>
    </row>
    <row r="146" spans="2:10" hidden="1" x14ac:dyDescent="0.35">
      <c r="B146" s="40">
        <v>35</v>
      </c>
      <c r="C146" s="17" t="s">
        <v>32</v>
      </c>
      <c r="D146" s="23"/>
      <c r="E146" s="23"/>
      <c r="F146" s="24">
        <f t="shared" si="25"/>
        <v>0</v>
      </c>
      <c r="G146" s="23">
        <f t="shared" si="26"/>
        <v>3229018</v>
      </c>
      <c r="H146" s="11">
        <v>0</v>
      </c>
      <c r="I146" s="25">
        <v>0</v>
      </c>
      <c r="J146" s="21"/>
    </row>
    <row r="147" spans="2:10" hidden="1" x14ac:dyDescent="0.35">
      <c r="B147" s="40">
        <v>36</v>
      </c>
      <c r="C147" s="27" t="s">
        <v>33</v>
      </c>
      <c r="D147" s="28"/>
      <c r="E147" s="28"/>
      <c r="F147" s="29">
        <f t="shared" si="25"/>
        <v>0</v>
      </c>
      <c r="G147" s="28">
        <f t="shared" si="26"/>
        <v>3229018</v>
      </c>
      <c r="H147" s="30">
        <v>0</v>
      </c>
      <c r="I147" s="31">
        <v>0</v>
      </c>
      <c r="J147" s="21"/>
    </row>
    <row r="148" spans="2:10" hidden="1" x14ac:dyDescent="0.35">
      <c r="B148" s="40">
        <v>37</v>
      </c>
      <c r="C148" s="16" t="s">
        <v>30</v>
      </c>
      <c r="D148" s="23"/>
      <c r="E148" s="23"/>
      <c r="F148" s="24">
        <f t="shared" si="24"/>
        <v>0</v>
      </c>
      <c r="G148" s="23">
        <f>+G140+F148</f>
        <v>3229018</v>
      </c>
      <c r="H148" s="11">
        <v>0</v>
      </c>
      <c r="I148" s="25">
        <v>0</v>
      </c>
      <c r="J148" s="21"/>
    </row>
    <row r="149" spans="2:10" hidden="1" x14ac:dyDescent="0.35">
      <c r="B149" s="40">
        <v>38</v>
      </c>
      <c r="C149" s="16" t="s">
        <v>27</v>
      </c>
      <c r="D149" s="23"/>
      <c r="E149" s="23"/>
      <c r="F149" s="24">
        <f t="shared" si="24"/>
        <v>0</v>
      </c>
      <c r="G149" s="23">
        <f t="shared" ref="G149:G153" si="27">+G148+F149</f>
        <v>3229018</v>
      </c>
      <c r="H149" s="11">
        <v>0</v>
      </c>
      <c r="I149" s="25">
        <v>0</v>
      </c>
      <c r="J149" s="21"/>
    </row>
    <row r="150" spans="2:10" hidden="1" x14ac:dyDescent="0.35">
      <c r="B150" s="40">
        <v>39</v>
      </c>
      <c r="C150" s="16" t="s">
        <v>28</v>
      </c>
      <c r="D150" s="23"/>
      <c r="E150" s="23"/>
      <c r="F150" s="24">
        <f t="shared" si="24"/>
        <v>0</v>
      </c>
      <c r="G150" s="23">
        <f t="shared" si="27"/>
        <v>3229018</v>
      </c>
      <c r="H150" s="11">
        <v>0</v>
      </c>
      <c r="I150" s="25">
        <v>0</v>
      </c>
      <c r="J150" s="21"/>
    </row>
    <row r="151" spans="2:10" hidden="1" x14ac:dyDescent="0.35">
      <c r="B151" s="40">
        <v>40</v>
      </c>
      <c r="C151" s="16" t="s">
        <v>29</v>
      </c>
      <c r="D151" s="23"/>
      <c r="E151" s="23"/>
      <c r="F151" s="24">
        <f t="shared" si="24"/>
        <v>0</v>
      </c>
      <c r="G151" s="23">
        <f t="shared" si="27"/>
        <v>3229018</v>
      </c>
      <c r="H151" s="11">
        <v>0</v>
      </c>
      <c r="I151" s="25">
        <v>0</v>
      </c>
      <c r="J151" s="21"/>
    </row>
    <row r="152" spans="2:10" hidden="1" x14ac:dyDescent="0.35">
      <c r="B152" s="40">
        <v>41</v>
      </c>
      <c r="C152" s="16" t="s">
        <v>30</v>
      </c>
      <c r="D152" s="23"/>
      <c r="E152" s="23"/>
      <c r="F152" s="24">
        <f t="shared" si="24"/>
        <v>0</v>
      </c>
      <c r="G152" s="23">
        <f t="shared" si="27"/>
        <v>3229018</v>
      </c>
      <c r="H152" s="11">
        <v>0</v>
      </c>
      <c r="I152" s="25">
        <v>0</v>
      </c>
      <c r="J152" s="21"/>
    </row>
    <row r="153" spans="2:10" hidden="1" x14ac:dyDescent="0.35">
      <c r="B153" s="40">
        <v>42</v>
      </c>
      <c r="C153" s="16" t="s">
        <v>31</v>
      </c>
      <c r="D153" s="23"/>
      <c r="E153" s="23"/>
      <c r="F153" s="24">
        <f t="shared" si="24"/>
        <v>0</v>
      </c>
      <c r="G153" s="23">
        <f t="shared" si="27"/>
        <v>3229018</v>
      </c>
      <c r="H153" s="11">
        <v>0</v>
      </c>
      <c r="I153" s="25">
        <v>0</v>
      </c>
      <c r="J153" s="21"/>
    </row>
    <row r="154" spans="2:10" x14ac:dyDescent="0.35">
      <c r="B154" s="5"/>
      <c r="C154" s="5"/>
      <c r="D154" s="6"/>
      <c r="E154" s="6"/>
      <c r="F154" s="6"/>
      <c r="G154" s="6"/>
      <c r="H154" s="7"/>
      <c r="I154" s="6"/>
      <c r="J154" s="5"/>
    </row>
    <row r="155" spans="2:10" x14ac:dyDescent="0.35">
      <c r="B155" s="8" t="s">
        <v>34</v>
      </c>
      <c r="C155" s="5"/>
      <c r="D155" s="5"/>
      <c r="E155" s="5"/>
      <c r="F155" s="5"/>
      <c r="G155" s="5"/>
      <c r="H155" s="5"/>
      <c r="I155" s="5"/>
      <c r="J155" s="5"/>
    </row>
    <row r="156" spans="2:10" x14ac:dyDescent="0.35">
      <c r="B156" s="9" t="s">
        <v>35</v>
      </c>
      <c r="C156" s="5"/>
      <c r="D156" s="5"/>
      <c r="E156" s="5"/>
      <c r="F156" s="5"/>
      <c r="G156" s="5"/>
      <c r="H156" s="5"/>
      <c r="I156" s="5"/>
      <c r="J156" s="5"/>
    </row>
    <row r="157" spans="2:10" x14ac:dyDescent="0.35">
      <c r="B157" s="9" t="s">
        <v>36</v>
      </c>
      <c r="C157" s="5"/>
      <c r="D157" s="5"/>
      <c r="E157" s="5"/>
      <c r="F157" s="5"/>
      <c r="G157" s="5"/>
      <c r="H157" s="5"/>
      <c r="I157" s="5"/>
      <c r="J157" s="5"/>
    </row>
    <row r="158" spans="2:10" x14ac:dyDescent="0.35">
      <c r="B158" s="9" t="s">
        <v>37</v>
      </c>
      <c r="C158" s="5"/>
      <c r="D158" s="5"/>
      <c r="E158" s="5"/>
      <c r="F158" s="5"/>
      <c r="G158" s="5"/>
      <c r="H158" s="5"/>
      <c r="I158" s="5"/>
      <c r="J158" s="5"/>
    </row>
    <row r="161" spans="2:10" ht="18.5" x14ac:dyDescent="0.45">
      <c r="B161" s="10"/>
      <c r="C161" s="10"/>
      <c r="D161" s="173" t="s">
        <v>41</v>
      </c>
      <c r="E161" s="173"/>
      <c r="F161" s="173"/>
      <c r="G161" s="173"/>
      <c r="H161" s="173"/>
      <c r="I161" s="173"/>
      <c r="J161" s="10"/>
    </row>
    <row r="162" spans="2:10" s="35" customFormat="1" ht="16" x14ac:dyDescent="0.4">
      <c r="B162" s="26"/>
      <c r="C162" s="26"/>
      <c r="D162" s="177" t="s">
        <v>47</v>
      </c>
      <c r="E162" s="177"/>
      <c r="F162" s="177"/>
      <c r="G162" s="177"/>
      <c r="H162" s="177"/>
      <c r="I162" s="177"/>
      <c r="J162" s="26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74" t="s">
        <v>6</v>
      </c>
      <c r="E164" s="175"/>
      <c r="F164" s="175"/>
      <c r="G164" s="176"/>
      <c r="H164" s="166" t="s">
        <v>7</v>
      </c>
      <c r="I164" s="167"/>
      <c r="J164" s="4"/>
    </row>
    <row r="165" spans="2:10" x14ac:dyDescent="0.35">
      <c r="B165" s="12"/>
      <c r="C165" s="13"/>
      <c r="D165" s="170" t="s">
        <v>9</v>
      </c>
      <c r="E165" s="171"/>
      <c r="F165" s="171"/>
      <c r="G165" s="172"/>
      <c r="H165" s="168"/>
      <c r="I165" s="169"/>
      <c r="J165" s="4"/>
    </row>
    <row r="166" spans="2:10" ht="14.4" customHeight="1" x14ac:dyDescent="0.35">
      <c r="B166" s="133" t="s">
        <v>10</v>
      </c>
      <c r="C166" s="135" t="s">
        <v>11</v>
      </c>
      <c r="D166" s="18" t="s">
        <v>12</v>
      </c>
      <c r="E166" s="18" t="s">
        <v>13</v>
      </c>
      <c r="F166" s="18" t="s">
        <v>14</v>
      </c>
      <c r="G166" s="18" t="s">
        <v>15</v>
      </c>
      <c r="H166" s="161" t="s">
        <v>16</v>
      </c>
      <c r="I166" s="135" t="s">
        <v>17</v>
      </c>
      <c r="J166" s="19"/>
    </row>
    <row r="167" spans="2:10" ht="39" customHeight="1" x14ac:dyDescent="0.35">
      <c r="B167" s="134"/>
      <c r="C167" s="136"/>
      <c r="D167" s="163" t="s">
        <v>20</v>
      </c>
      <c r="E167" s="164"/>
      <c r="F167" s="164"/>
      <c r="G167" s="165"/>
      <c r="H167" s="162"/>
      <c r="I167" s="136"/>
      <c r="J167" s="19"/>
    </row>
    <row r="168" spans="2:10" x14ac:dyDescent="0.35">
      <c r="B168" s="40">
        <v>4</v>
      </c>
      <c r="C168" s="38" t="s">
        <v>21</v>
      </c>
      <c r="D168" s="20">
        <v>0</v>
      </c>
      <c r="E168" s="20">
        <v>0</v>
      </c>
      <c r="F168" s="43">
        <f>+D168+E168</f>
        <v>0</v>
      </c>
      <c r="G168" s="20">
        <f>+F168</f>
        <v>0</v>
      </c>
      <c r="H168" s="44" t="e">
        <f t="shared" ref="H168:H175" si="28">((G168-I168)/I168)*100</f>
        <v>#DIV/0!</v>
      </c>
      <c r="I168" s="20">
        <v>0</v>
      </c>
      <c r="J168" s="21"/>
    </row>
    <row r="169" spans="2:10" x14ac:dyDescent="0.35">
      <c r="B169" s="40">
        <v>5</v>
      </c>
      <c r="C169" s="38" t="s">
        <v>22</v>
      </c>
      <c r="D169" s="25">
        <v>0</v>
      </c>
      <c r="E169" s="25">
        <v>0</v>
      </c>
      <c r="F169" s="47">
        <f>+E169+D169</f>
        <v>0</v>
      </c>
      <c r="G169" s="25">
        <f>+G168+F169</f>
        <v>0</v>
      </c>
      <c r="H169" s="48" t="e">
        <f t="shared" si="28"/>
        <v>#DIV/0!</v>
      </c>
      <c r="I169" s="25">
        <v>0</v>
      </c>
      <c r="J169" s="21"/>
    </row>
    <row r="170" spans="2:10" x14ac:dyDescent="0.35">
      <c r="B170" s="40">
        <v>6</v>
      </c>
      <c r="C170" s="38" t="s">
        <v>23</v>
      </c>
      <c r="D170" s="25">
        <v>0</v>
      </c>
      <c r="E170" s="25">
        <v>0</v>
      </c>
      <c r="F170" s="47">
        <f>+E170+D170</f>
        <v>0</v>
      </c>
      <c r="G170" s="25">
        <f t="shared" ref="G170" si="29">+G169+F170</f>
        <v>0</v>
      </c>
      <c r="H170" s="48" t="e">
        <f t="shared" si="28"/>
        <v>#DIV/0!</v>
      </c>
      <c r="I170" s="25">
        <v>0</v>
      </c>
      <c r="J170" s="21"/>
    </row>
    <row r="171" spans="2:10" x14ac:dyDescent="0.35">
      <c r="B171" s="40">
        <v>7</v>
      </c>
      <c r="C171" s="38" t="s">
        <v>24</v>
      </c>
      <c r="D171" s="25">
        <v>0</v>
      </c>
      <c r="E171" s="25">
        <v>0</v>
      </c>
      <c r="F171" s="47">
        <f t="shared" ref="F171:F192" si="30">+E171+D171</f>
        <v>0</v>
      </c>
      <c r="G171" s="25">
        <v>0</v>
      </c>
      <c r="H171" s="48" t="e">
        <f t="shared" si="28"/>
        <v>#DIV/0!</v>
      </c>
      <c r="I171" s="25">
        <v>0</v>
      </c>
      <c r="J171" s="21"/>
    </row>
    <row r="172" spans="2:10" x14ac:dyDescent="0.35">
      <c r="B172" s="40">
        <v>8</v>
      </c>
      <c r="C172" s="38" t="s">
        <v>25</v>
      </c>
      <c r="D172" s="25">
        <v>0</v>
      </c>
      <c r="E172" s="25">
        <v>0</v>
      </c>
      <c r="F172" s="47">
        <f t="shared" si="30"/>
        <v>0</v>
      </c>
      <c r="G172" s="25">
        <f t="shared" ref="G172:G192" si="31">+G171+F172</f>
        <v>0</v>
      </c>
      <c r="H172" s="48" t="e">
        <f t="shared" si="28"/>
        <v>#DIV/0!</v>
      </c>
      <c r="I172" s="25">
        <v>0</v>
      </c>
      <c r="J172" s="21"/>
    </row>
    <row r="173" spans="2:10" x14ac:dyDescent="0.35">
      <c r="B173" s="40">
        <v>9</v>
      </c>
      <c r="C173" s="38" t="s">
        <v>26</v>
      </c>
      <c r="D173" s="25">
        <v>0</v>
      </c>
      <c r="E173" s="25">
        <v>0</v>
      </c>
      <c r="F173" s="47">
        <f t="shared" si="30"/>
        <v>0</v>
      </c>
      <c r="G173" s="25">
        <f t="shared" si="31"/>
        <v>0</v>
      </c>
      <c r="H173" s="48" t="e">
        <f t="shared" si="28"/>
        <v>#DIV/0!</v>
      </c>
      <c r="I173" s="25">
        <v>0</v>
      </c>
      <c r="J173" s="21"/>
    </row>
    <row r="174" spans="2:10" x14ac:dyDescent="0.35">
      <c r="B174" s="40">
        <v>10</v>
      </c>
      <c r="C174" s="38" t="s">
        <v>62</v>
      </c>
      <c r="D174" s="25">
        <v>0</v>
      </c>
      <c r="E174" s="25">
        <v>0</v>
      </c>
      <c r="F174" s="47">
        <f t="shared" si="30"/>
        <v>0</v>
      </c>
      <c r="G174" s="25">
        <f t="shared" si="31"/>
        <v>0</v>
      </c>
      <c r="H174" s="48" t="e">
        <f t="shared" si="28"/>
        <v>#DIV/0!</v>
      </c>
      <c r="I174" s="25">
        <v>0</v>
      </c>
      <c r="J174" s="21"/>
    </row>
    <row r="175" spans="2:10" x14ac:dyDescent="0.35">
      <c r="B175" s="40">
        <v>11</v>
      </c>
      <c r="C175" s="38" t="s">
        <v>63</v>
      </c>
      <c r="D175" s="25">
        <v>0</v>
      </c>
      <c r="E175" s="25">
        <v>0</v>
      </c>
      <c r="F175" s="47">
        <f t="shared" si="30"/>
        <v>0</v>
      </c>
      <c r="G175" s="25">
        <f t="shared" si="31"/>
        <v>0</v>
      </c>
      <c r="H175" s="48" t="e">
        <f t="shared" si="28"/>
        <v>#DIV/0!</v>
      </c>
      <c r="I175" s="25">
        <v>0</v>
      </c>
      <c r="J175" s="21"/>
    </row>
    <row r="176" spans="2:10" x14ac:dyDescent="0.35">
      <c r="B176" s="40">
        <v>12</v>
      </c>
      <c r="C176" s="38" t="s">
        <v>78</v>
      </c>
      <c r="D176" s="25">
        <v>0</v>
      </c>
      <c r="E176" s="25">
        <v>0</v>
      </c>
      <c r="F176" s="47">
        <f t="shared" si="30"/>
        <v>0</v>
      </c>
      <c r="G176" s="25">
        <f t="shared" si="31"/>
        <v>0</v>
      </c>
      <c r="H176" s="48" t="e">
        <f>((G176-I176)/I176)*100</f>
        <v>#DIV/0!</v>
      </c>
      <c r="I176" s="25">
        <v>0</v>
      </c>
      <c r="J176" s="21"/>
    </row>
    <row r="177" spans="2:10" x14ac:dyDescent="0.35">
      <c r="B177" s="40">
        <v>13</v>
      </c>
      <c r="C177" s="38" t="s">
        <v>64</v>
      </c>
      <c r="D177" s="25">
        <v>0</v>
      </c>
      <c r="E177" s="25">
        <v>0</v>
      </c>
      <c r="F177" s="47">
        <f t="shared" si="30"/>
        <v>0</v>
      </c>
      <c r="G177" s="25">
        <f t="shared" si="31"/>
        <v>0</v>
      </c>
      <c r="H177" s="48" t="e">
        <f>((G177-I177)/I177)*100</f>
        <v>#DIV/0!</v>
      </c>
      <c r="I177" s="25">
        <v>0</v>
      </c>
      <c r="J177" s="21"/>
    </row>
    <row r="178" spans="2:10" x14ac:dyDescent="0.35">
      <c r="B178" s="40">
        <v>14</v>
      </c>
      <c r="C178" s="58" t="s">
        <v>65</v>
      </c>
      <c r="D178" s="25">
        <v>0</v>
      </c>
      <c r="E178" s="25">
        <v>0</v>
      </c>
      <c r="F178" s="47">
        <f t="shared" si="30"/>
        <v>0</v>
      </c>
      <c r="G178" s="25">
        <f t="shared" si="31"/>
        <v>0</v>
      </c>
      <c r="H178" s="48" t="e">
        <f>((G178-I178)/I178)*100</f>
        <v>#DIV/0!</v>
      </c>
      <c r="I178" s="25">
        <v>0</v>
      </c>
      <c r="J178" s="21"/>
    </row>
    <row r="179" spans="2:10" x14ac:dyDescent="0.35">
      <c r="B179" s="40">
        <v>15</v>
      </c>
      <c r="C179" s="38" t="s">
        <v>66</v>
      </c>
      <c r="D179" s="25">
        <v>0</v>
      </c>
      <c r="E179" s="25">
        <v>0</v>
      </c>
      <c r="F179" s="47">
        <f t="shared" si="30"/>
        <v>0</v>
      </c>
      <c r="G179" s="25">
        <f t="shared" si="31"/>
        <v>0</v>
      </c>
      <c r="H179" s="48" t="e">
        <f>((G179-I179)/I179)*100</f>
        <v>#DIV/0!</v>
      </c>
      <c r="I179" s="25">
        <v>0</v>
      </c>
      <c r="J179" s="21"/>
    </row>
    <row r="180" spans="2:10" x14ac:dyDescent="0.35">
      <c r="B180" s="40">
        <v>16</v>
      </c>
      <c r="C180" s="38" t="s">
        <v>67</v>
      </c>
      <c r="D180" s="25">
        <v>0</v>
      </c>
      <c r="E180" s="25">
        <v>0</v>
      </c>
      <c r="F180" s="47">
        <f t="shared" si="30"/>
        <v>0</v>
      </c>
      <c r="G180" s="25">
        <f t="shared" si="31"/>
        <v>0</v>
      </c>
      <c r="H180" s="48" t="e">
        <f t="shared" ref="H180:H185" si="32">((G180-I180)/I180)*100</f>
        <v>#DIV/0!</v>
      </c>
      <c r="I180" s="25">
        <v>0</v>
      </c>
      <c r="J180" s="21"/>
    </row>
    <row r="181" spans="2:10" x14ac:dyDescent="0.35">
      <c r="B181" s="40">
        <v>16</v>
      </c>
      <c r="C181" s="38" t="s">
        <v>67</v>
      </c>
      <c r="D181" s="25">
        <v>0</v>
      </c>
      <c r="E181" s="25">
        <v>0</v>
      </c>
      <c r="F181" s="47">
        <f t="shared" si="30"/>
        <v>0</v>
      </c>
      <c r="G181" s="25">
        <f t="shared" si="31"/>
        <v>0</v>
      </c>
      <c r="H181" s="48" t="e">
        <f t="shared" si="32"/>
        <v>#DIV/0!</v>
      </c>
      <c r="I181" s="25">
        <v>0</v>
      </c>
      <c r="J181" s="21"/>
    </row>
    <row r="182" spans="2:10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30"/>
        <v>0</v>
      </c>
      <c r="G182" s="25">
        <f t="shared" si="31"/>
        <v>0</v>
      </c>
      <c r="H182" s="48" t="e">
        <f t="shared" si="32"/>
        <v>#DIV/0!</v>
      </c>
      <c r="I182" s="25">
        <v>0</v>
      </c>
      <c r="J182" s="21"/>
    </row>
    <row r="183" spans="2:10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30"/>
        <v>0</v>
      </c>
      <c r="G183" s="25">
        <f t="shared" si="31"/>
        <v>0</v>
      </c>
      <c r="H183" s="48" t="e">
        <f t="shared" si="32"/>
        <v>#DIV/0!</v>
      </c>
      <c r="I183" s="25">
        <v>0</v>
      </c>
      <c r="J183" s="21"/>
    </row>
    <row r="184" spans="2:10" x14ac:dyDescent="0.35">
      <c r="B184" s="40">
        <v>20</v>
      </c>
      <c r="C184" s="38" t="s">
        <v>85</v>
      </c>
      <c r="D184" s="25">
        <v>0</v>
      </c>
      <c r="E184" s="25">
        <v>0</v>
      </c>
      <c r="F184" s="47">
        <f t="shared" si="30"/>
        <v>0</v>
      </c>
      <c r="G184" s="25">
        <f t="shared" si="31"/>
        <v>0</v>
      </c>
      <c r="H184" s="48" t="e">
        <f t="shared" si="32"/>
        <v>#DIV/0!</v>
      </c>
      <c r="I184" s="25">
        <v>0</v>
      </c>
      <c r="J184" s="21"/>
    </row>
    <row r="185" spans="2:10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30"/>
        <v>0</v>
      </c>
      <c r="G185" s="25">
        <f t="shared" si="31"/>
        <v>0</v>
      </c>
      <c r="H185" s="48" t="e">
        <f t="shared" si="32"/>
        <v>#DIV/0!</v>
      </c>
      <c r="I185" s="25">
        <v>0</v>
      </c>
      <c r="J185" s="21"/>
    </row>
    <row r="186" spans="2:10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30"/>
        <v>0</v>
      </c>
      <c r="G186" s="25">
        <f t="shared" si="31"/>
        <v>0</v>
      </c>
      <c r="H186" s="11" t="e">
        <f>+H185</f>
        <v>#DIV/0!</v>
      </c>
      <c r="I186" s="25">
        <v>0</v>
      </c>
      <c r="J186" s="21"/>
    </row>
    <row r="187" spans="2:10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30"/>
        <v>0</v>
      </c>
      <c r="G187" s="25">
        <f t="shared" si="31"/>
        <v>0</v>
      </c>
      <c r="H187" s="48" t="e">
        <f t="shared" ref="H187:H192" si="33">((G187-I187)/I187)*100</f>
        <v>#DIV/0!</v>
      </c>
      <c r="I187" s="25">
        <v>0</v>
      </c>
      <c r="J187" s="21"/>
    </row>
    <row r="188" spans="2:10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30"/>
        <v>0</v>
      </c>
      <c r="G188" s="25">
        <f t="shared" si="31"/>
        <v>0</v>
      </c>
      <c r="H188" s="48" t="e">
        <f t="shared" si="33"/>
        <v>#DIV/0!</v>
      </c>
      <c r="I188" s="25">
        <v>0</v>
      </c>
      <c r="J188" s="21"/>
    </row>
    <row r="189" spans="2:10" x14ac:dyDescent="0.35">
      <c r="B189" s="40">
        <v>25</v>
      </c>
      <c r="C189" s="77" t="s">
        <v>76</v>
      </c>
      <c r="D189" s="25">
        <v>0</v>
      </c>
      <c r="E189" s="25">
        <v>0</v>
      </c>
      <c r="F189" s="47">
        <f t="shared" si="30"/>
        <v>0</v>
      </c>
      <c r="G189" s="25">
        <f t="shared" si="31"/>
        <v>0</v>
      </c>
      <c r="H189" s="48" t="e">
        <f t="shared" si="33"/>
        <v>#DIV/0!</v>
      </c>
      <c r="I189" s="25">
        <f>+I188+0</f>
        <v>0</v>
      </c>
      <c r="J189" s="21"/>
    </row>
    <row r="190" spans="2:10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30"/>
        <v>0</v>
      </c>
      <c r="G190" s="106">
        <f t="shared" si="31"/>
        <v>0</v>
      </c>
      <c r="H190" s="48" t="e">
        <f t="shared" si="33"/>
        <v>#DIV/0!</v>
      </c>
      <c r="I190" s="25">
        <f>+I189+0</f>
        <v>0</v>
      </c>
      <c r="J190" s="21"/>
    </row>
    <row r="191" spans="2:10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30"/>
        <v>0</v>
      </c>
      <c r="G191" s="120">
        <f t="shared" si="31"/>
        <v>0</v>
      </c>
      <c r="H191" s="48" t="e">
        <f t="shared" si="33"/>
        <v>#DIV/0!</v>
      </c>
      <c r="I191" s="25">
        <f>+I190+0</f>
        <v>0</v>
      </c>
      <c r="J191" s="21"/>
    </row>
    <row r="192" spans="2:10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30"/>
        <v>0</v>
      </c>
      <c r="G192" s="109">
        <f t="shared" si="31"/>
        <v>0</v>
      </c>
      <c r="H192" s="48" t="e">
        <f t="shared" si="33"/>
        <v>#DIV/0!</v>
      </c>
      <c r="I192" s="25">
        <f>+I191+0</f>
        <v>0</v>
      </c>
      <c r="J192" s="21"/>
    </row>
    <row r="193" spans="2:10" hidden="1" x14ac:dyDescent="0.35">
      <c r="B193" s="40">
        <v>29</v>
      </c>
      <c r="C193" s="16" t="s">
        <v>29</v>
      </c>
      <c r="D193" s="23"/>
      <c r="E193" s="23"/>
      <c r="F193" s="24">
        <f t="shared" ref="F193:F206" si="34">+E193+D193</f>
        <v>0</v>
      </c>
      <c r="G193" s="23">
        <f t="shared" ref="G193:G197" si="35">+G192+F193</f>
        <v>0</v>
      </c>
      <c r="H193" s="11">
        <v>0</v>
      </c>
      <c r="I193" s="25">
        <v>0</v>
      </c>
      <c r="J193" s="21"/>
    </row>
    <row r="194" spans="2:10" hidden="1" x14ac:dyDescent="0.35">
      <c r="B194" s="40">
        <v>30</v>
      </c>
      <c r="C194" s="16" t="s">
        <v>30</v>
      </c>
      <c r="D194" s="23"/>
      <c r="E194" s="23"/>
      <c r="F194" s="24">
        <f t="shared" si="34"/>
        <v>0</v>
      </c>
      <c r="G194" s="23">
        <f t="shared" si="35"/>
        <v>0</v>
      </c>
      <c r="H194" s="11">
        <v>0</v>
      </c>
      <c r="I194" s="25">
        <v>0</v>
      </c>
      <c r="J194" s="21"/>
    </row>
    <row r="195" spans="2:10" hidden="1" x14ac:dyDescent="0.35">
      <c r="B195" s="40">
        <v>31</v>
      </c>
      <c r="C195" s="16" t="s">
        <v>31</v>
      </c>
      <c r="D195" s="23"/>
      <c r="E195" s="23"/>
      <c r="F195" s="24">
        <f t="shared" si="34"/>
        <v>0</v>
      </c>
      <c r="G195" s="23">
        <f t="shared" si="35"/>
        <v>0</v>
      </c>
      <c r="H195" s="11">
        <v>0</v>
      </c>
      <c r="I195" s="25">
        <v>0</v>
      </c>
      <c r="J195" s="21"/>
    </row>
    <row r="196" spans="2:10" hidden="1" x14ac:dyDescent="0.35">
      <c r="B196" s="40">
        <v>32</v>
      </c>
      <c r="C196" s="17" t="s">
        <v>32</v>
      </c>
      <c r="D196" s="23"/>
      <c r="E196" s="23"/>
      <c r="F196" s="24">
        <f t="shared" si="34"/>
        <v>0</v>
      </c>
      <c r="G196" s="23">
        <f t="shared" si="35"/>
        <v>0</v>
      </c>
      <c r="H196" s="11">
        <v>0</v>
      </c>
      <c r="I196" s="25">
        <v>0</v>
      </c>
      <c r="J196" s="21"/>
    </row>
    <row r="197" spans="2:10" hidden="1" x14ac:dyDescent="0.35">
      <c r="B197" s="40">
        <v>33</v>
      </c>
      <c r="C197" s="27" t="s">
        <v>33</v>
      </c>
      <c r="D197" s="28"/>
      <c r="E197" s="28"/>
      <c r="F197" s="29">
        <f t="shared" si="34"/>
        <v>0</v>
      </c>
      <c r="G197" s="28">
        <f t="shared" si="35"/>
        <v>0</v>
      </c>
      <c r="H197" s="30">
        <v>0</v>
      </c>
      <c r="I197" s="31">
        <v>0</v>
      </c>
      <c r="J197" s="21"/>
    </row>
    <row r="198" spans="2:10" hidden="1" x14ac:dyDescent="0.35">
      <c r="B198" s="40">
        <v>34</v>
      </c>
      <c r="C198" s="16" t="s">
        <v>30</v>
      </c>
      <c r="D198" s="23"/>
      <c r="E198" s="23"/>
      <c r="F198" s="24">
        <f t="shared" si="34"/>
        <v>0</v>
      </c>
      <c r="G198" s="23">
        <f>+G190+F198</f>
        <v>0</v>
      </c>
      <c r="H198" s="11">
        <v>0</v>
      </c>
      <c r="I198" s="25">
        <v>0</v>
      </c>
      <c r="J198" s="21"/>
    </row>
    <row r="199" spans="2:10" hidden="1" x14ac:dyDescent="0.35">
      <c r="B199" s="40">
        <v>35</v>
      </c>
      <c r="C199" s="16" t="s">
        <v>27</v>
      </c>
      <c r="D199" s="23"/>
      <c r="E199" s="23"/>
      <c r="F199" s="24">
        <f t="shared" si="34"/>
        <v>0</v>
      </c>
      <c r="G199" s="23">
        <f t="shared" ref="G199:G203" si="36">+G198+F199</f>
        <v>0</v>
      </c>
      <c r="H199" s="11">
        <v>0</v>
      </c>
      <c r="I199" s="25">
        <v>0</v>
      </c>
      <c r="J199" s="21"/>
    </row>
    <row r="200" spans="2:10" hidden="1" x14ac:dyDescent="0.35">
      <c r="B200" s="40">
        <v>36</v>
      </c>
      <c r="C200" s="16" t="s">
        <v>28</v>
      </c>
      <c r="D200" s="23"/>
      <c r="E200" s="23"/>
      <c r="F200" s="24">
        <f t="shared" si="34"/>
        <v>0</v>
      </c>
      <c r="G200" s="23">
        <f t="shared" si="36"/>
        <v>0</v>
      </c>
      <c r="H200" s="11">
        <v>0</v>
      </c>
      <c r="I200" s="25">
        <v>0</v>
      </c>
      <c r="J200" s="21"/>
    </row>
    <row r="201" spans="2:10" hidden="1" x14ac:dyDescent="0.35">
      <c r="B201" s="40">
        <v>37</v>
      </c>
      <c r="C201" s="16" t="s">
        <v>29</v>
      </c>
      <c r="D201" s="23"/>
      <c r="E201" s="23"/>
      <c r="F201" s="24">
        <f t="shared" si="34"/>
        <v>0</v>
      </c>
      <c r="G201" s="23">
        <f t="shared" si="36"/>
        <v>0</v>
      </c>
      <c r="H201" s="11">
        <v>0</v>
      </c>
      <c r="I201" s="25">
        <v>0</v>
      </c>
      <c r="J201" s="21"/>
    </row>
    <row r="202" spans="2:10" hidden="1" x14ac:dyDescent="0.35">
      <c r="B202" s="40">
        <v>38</v>
      </c>
      <c r="C202" s="16" t="s">
        <v>30</v>
      </c>
      <c r="D202" s="23"/>
      <c r="E202" s="23"/>
      <c r="F202" s="24">
        <f t="shared" si="34"/>
        <v>0</v>
      </c>
      <c r="G202" s="23">
        <f t="shared" si="36"/>
        <v>0</v>
      </c>
      <c r="H202" s="11">
        <v>0</v>
      </c>
      <c r="I202" s="25">
        <v>0</v>
      </c>
      <c r="J202" s="21"/>
    </row>
    <row r="203" spans="2:10" hidden="1" x14ac:dyDescent="0.35">
      <c r="B203" s="40">
        <v>39</v>
      </c>
      <c r="C203" s="16" t="s">
        <v>31</v>
      </c>
      <c r="D203" s="23"/>
      <c r="E203" s="23"/>
      <c r="F203" s="24">
        <f t="shared" si="34"/>
        <v>0</v>
      </c>
      <c r="G203" s="23">
        <f t="shared" si="36"/>
        <v>0</v>
      </c>
      <c r="H203" s="11">
        <v>0</v>
      </c>
      <c r="I203" s="25">
        <v>0</v>
      </c>
      <c r="J203" s="21"/>
    </row>
    <row r="204" spans="2:10" hidden="1" x14ac:dyDescent="0.35">
      <c r="B204" s="40">
        <v>40</v>
      </c>
      <c r="C204" s="16" t="s">
        <v>31</v>
      </c>
      <c r="D204" s="23"/>
      <c r="E204" s="23"/>
      <c r="F204" s="24">
        <f t="shared" si="34"/>
        <v>0</v>
      </c>
      <c r="G204" s="23">
        <f>+G187+F204</f>
        <v>0</v>
      </c>
      <c r="H204" s="11">
        <v>0</v>
      </c>
      <c r="I204" s="25">
        <v>0</v>
      </c>
      <c r="J204" s="21"/>
    </row>
    <row r="205" spans="2:10" hidden="1" x14ac:dyDescent="0.35">
      <c r="B205" s="40">
        <v>41</v>
      </c>
      <c r="C205" s="17" t="s">
        <v>32</v>
      </c>
      <c r="D205" s="23"/>
      <c r="E205" s="23"/>
      <c r="F205" s="24">
        <f t="shared" si="34"/>
        <v>0</v>
      </c>
      <c r="G205" s="23">
        <f t="shared" ref="G205:G206" si="37">+G204+F205</f>
        <v>0</v>
      </c>
      <c r="H205" s="11">
        <v>0</v>
      </c>
      <c r="I205" s="25">
        <v>0</v>
      </c>
      <c r="J205" s="21"/>
    </row>
    <row r="206" spans="2:10" hidden="1" x14ac:dyDescent="0.35">
      <c r="B206" s="40">
        <v>42</v>
      </c>
      <c r="C206" s="27" t="s">
        <v>33</v>
      </c>
      <c r="D206" s="28"/>
      <c r="E206" s="28"/>
      <c r="F206" s="29">
        <f t="shared" si="34"/>
        <v>0</v>
      </c>
      <c r="G206" s="28">
        <f t="shared" si="37"/>
        <v>0</v>
      </c>
      <c r="H206" s="30">
        <v>0</v>
      </c>
      <c r="I206" s="31">
        <v>0</v>
      </c>
      <c r="J206" s="21"/>
    </row>
    <row r="207" spans="2:10" x14ac:dyDescent="0.35">
      <c r="B207" s="5"/>
      <c r="C207" s="5"/>
      <c r="D207" s="6"/>
      <c r="E207" s="6"/>
      <c r="F207" s="6"/>
      <c r="G207" s="6"/>
      <c r="H207" s="7"/>
      <c r="I207" s="6"/>
      <c r="J207" s="5"/>
    </row>
    <row r="208" spans="2:10" x14ac:dyDescent="0.35">
      <c r="B208" s="8" t="s">
        <v>34</v>
      </c>
      <c r="C208" s="5"/>
      <c r="D208" s="5"/>
      <c r="E208" s="5"/>
      <c r="F208" s="5"/>
      <c r="G208" s="5"/>
      <c r="H208" s="5"/>
      <c r="I208" s="5"/>
      <c r="J208" s="5"/>
    </row>
    <row r="209" spans="2:10" x14ac:dyDescent="0.35">
      <c r="B209" s="9" t="s">
        <v>35</v>
      </c>
      <c r="C209" s="5"/>
      <c r="D209" s="5"/>
      <c r="E209" s="5"/>
      <c r="F209" s="5"/>
      <c r="G209" s="5"/>
      <c r="H209" s="5"/>
      <c r="I209" s="5"/>
      <c r="J209" s="5"/>
    </row>
    <row r="210" spans="2:10" x14ac:dyDescent="0.35">
      <c r="B210" s="9" t="s">
        <v>36</v>
      </c>
      <c r="C210" s="5"/>
      <c r="D210" s="5"/>
      <c r="E210" s="5"/>
      <c r="F210" s="5"/>
      <c r="G210" s="5"/>
      <c r="H210" s="5"/>
      <c r="I210" s="5"/>
      <c r="J210" s="5"/>
    </row>
    <row r="211" spans="2:10" x14ac:dyDescent="0.35">
      <c r="B211" s="9" t="s">
        <v>37</v>
      </c>
      <c r="C211" s="5"/>
      <c r="D211" s="5"/>
      <c r="E211" s="5"/>
      <c r="F211" s="5"/>
      <c r="G211" s="5"/>
      <c r="H211" s="5"/>
      <c r="I211" s="5"/>
      <c r="J211" s="5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211"/>
  <sheetViews>
    <sheetView topLeftCell="A6" zoomScale="80" zoomScaleNormal="80" workbookViewId="0">
      <selection activeCell="N25" sqref="N25"/>
    </sheetView>
  </sheetViews>
  <sheetFormatPr defaultColWidth="9" defaultRowHeight="14.5" x14ac:dyDescent="0.35"/>
  <cols>
    <col min="1" max="1" width="2" style="3" customWidth="1"/>
    <col min="2" max="2" width="7.59765625" style="3" customWidth="1"/>
    <col min="3" max="3" width="25.59765625" style="3" customWidth="1"/>
    <col min="4" max="4" width="18.59765625" style="39" customWidth="1"/>
    <col min="5" max="5" width="13" style="39" customWidth="1"/>
    <col min="6" max="6" width="14.8984375" style="39" customWidth="1"/>
    <col min="7" max="7" width="14.59765625" style="39" customWidth="1"/>
    <col min="8" max="9" width="13" style="39" customWidth="1"/>
    <col min="10" max="10" width="9" style="39"/>
    <col min="11" max="11" width="9" style="3"/>
    <col min="12" max="12" width="11.59765625" style="3" customWidth="1"/>
    <col min="13" max="16384" width="9" style="3"/>
  </cols>
  <sheetData>
    <row r="3" spans="2:12" s="35" customFormat="1" ht="18.5" x14ac:dyDescent="0.45">
      <c r="B3" s="26"/>
      <c r="C3" s="26"/>
      <c r="D3" s="160" t="s">
        <v>49</v>
      </c>
      <c r="E3" s="160"/>
      <c r="F3" s="160"/>
      <c r="G3" s="160"/>
      <c r="H3" s="160"/>
      <c r="I3" s="160"/>
      <c r="J3" s="52"/>
      <c r="K3" s="36"/>
      <c r="L3" s="2"/>
    </row>
    <row r="4" spans="2:12" ht="15.9" customHeight="1" x14ac:dyDescent="0.4">
      <c r="B4" s="128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4.4" customHeight="1" x14ac:dyDescent="0.35">
      <c r="B5" s="14"/>
      <c r="C5" s="15"/>
      <c r="D5" s="142" t="s">
        <v>6</v>
      </c>
      <c r="E5" s="143"/>
      <c r="F5" s="143"/>
      <c r="G5" s="144"/>
      <c r="H5" s="129" t="s">
        <v>7</v>
      </c>
      <c r="I5" s="130"/>
      <c r="J5" s="53"/>
      <c r="K5" s="1"/>
      <c r="L5" s="2"/>
    </row>
    <row r="6" spans="2:12" x14ac:dyDescent="0.35">
      <c r="B6" s="12"/>
      <c r="C6" s="13"/>
      <c r="D6" s="145" t="s">
        <v>9</v>
      </c>
      <c r="E6" s="146"/>
      <c r="F6" s="146"/>
      <c r="G6" s="147"/>
      <c r="H6" s="131"/>
      <c r="I6" s="132"/>
      <c r="J6" s="53"/>
      <c r="K6" s="1"/>
      <c r="L6" s="2"/>
    </row>
    <row r="7" spans="2:12" ht="18.899999999999999" customHeight="1" x14ac:dyDescent="0.35">
      <c r="B7" s="133" t="s">
        <v>10</v>
      </c>
      <c r="C7" s="135" t="s">
        <v>11</v>
      </c>
      <c r="D7" s="51" t="s">
        <v>12</v>
      </c>
      <c r="E7" s="51" t="s">
        <v>13</v>
      </c>
      <c r="F7" s="51" t="s">
        <v>14</v>
      </c>
      <c r="G7" s="51" t="s">
        <v>15</v>
      </c>
      <c r="H7" s="124" t="s">
        <v>16</v>
      </c>
      <c r="I7" s="126" t="s">
        <v>17</v>
      </c>
      <c r="J7" s="54"/>
      <c r="K7" s="1"/>
      <c r="L7" s="2"/>
    </row>
    <row r="8" spans="2:12" ht="32.4" customHeight="1" x14ac:dyDescent="0.35">
      <c r="B8" s="134"/>
      <c r="C8" s="136"/>
      <c r="D8" s="154" t="s">
        <v>20</v>
      </c>
      <c r="E8" s="155"/>
      <c r="F8" s="155"/>
      <c r="G8" s="156"/>
      <c r="H8" s="125"/>
      <c r="I8" s="127"/>
      <c r="J8" s="54"/>
      <c r="K8" s="1"/>
    </row>
    <row r="9" spans="2:12" x14ac:dyDescent="0.35">
      <c r="B9" s="40">
        <v>4</v>
      </c>
      <c r="C9" s="38" t="s">
        <v>21</v>
      </c>
      <c r="D9" s="20">
        <v>180929.31</v>
      </c>
      <c r="E9" s="20">
        <v>0</v>
      </c>
      <c r="F9" s="43">
        <f>+D9+E9</f>
        <v>180929.31</v>
      </c>
      <c r="G9" s="20">
        <f>+F9</f>
        <v>180929.31</v>
      </c>
      <c r="H9" s="44">
        <f>((G9-I11)/I11)*100</f>
        <v>-72.615433999046857</v>
      </c>
      <c r="I9" s="20">
        <v>31440</v>
      </c>
      <c r="J9" s="45"/>
      <c r="K9" s="1"/>
    </row>
    <row r="10" spans="2:12" x14ac:dyDescent="0.35">
      <c r="B10" s="40">
        <v>5</v>
      </c>
      <c r="C10" s="38" t="s">
        <v>22</v>
      </c>
      <c r="D10" s="25">
        <v>93255.93</v>
      </c>
      <c r="E10" s="25">
        <v>0</v>
      </c>
      <c r="F10" s="47">
        <f>+E10+D10</f>
        <v>93255.93</v>
      </c>
      <c r="G10" s="25">
        <f>+G9+F10</f>
        <v>274185.24</v>
      </c>
      <c r="H10" s="48">
        <f t="shared" ref="H10:H16" si="0">((G10-I10)/I10)*100</f>
        <v>-45.998035144408966</v>
      </c>
      <c r="I10" s="20">
        <f>+I9+476291.97</f>
        <v>507731.97</v>
      </c>
      <c r="J10" s="45"/>
      <c r="K10" s="1"/>
    </row>
    <row r="11" spans="2:12" x14ac:dyDescent="0.35">
      <c r="B11" s="40">
        <v>6</v>
      </c>
      <c r="C11" s="38" t="s">
        <v>23</v>
      </c>
      <c r="D11" s="25">
        <v>242659.54</v>
      </c>
      <c r="E11" s="25">
        <v>0</v>
      </c>
      <c r="F11" s="47">
        <f>+E11+D11</f>
        <v>242659.54</v>
      </c>
      <c r="G11" s="25">
        <f t="shared" ref="G11:G33" si="1">+G10+F11</f>
        <v>516844.78</v>
      </c>
      <c r="H11" s="48">
        <f t="shared" si="0"/>
        <v>-21.772928940268947</v>
      </c>
      <c r="I11" s="20">
        <f>+I10+152966.14</f>
        <v>660698.11</v>
      </c>
      <c r="J11" s="45"/>
      <c r="K11" s="1"/>
    </row>
    <row r="12" spans="2:12" x14ac:dyDescent="0.35">
      <c r="B12" s="40">
        <v>7</v>
      </c>
      <c r="C12" s="38" t="s">
        <v>24</v>
      </c>
      <c r="D12" s="25">
        <v>60050.02</v>
      </c>
      <c r="E12" s="25">
        <v>110420.5</v>
      </c>
      <c r="F12" s="47">
        <f t="shared" ref="F12:F33" si="2">+E12+D12</f>
        <v>170470.52</v>
      </c>
      <c r="G12" s="25">
        <f>+G11+F12</f>
        <v>687315.3</v>
      </c>
      <c r="H12" s="48">
        <f t="shared" si="0"/>
        <v>-20.094544662219896</v>
      </c>
      <c r="I12" s="25">
        <f>+I11+199462.56</f>
        <v>860160.66999999993</v>
      </c>
      <c r="J12" s="45"/>
      <c r="K12" s="1"/>
    </row>
    <row r="13" spans="2:12" x14ac:dyDescent="0.35">
      <c r="B13" s="40">
        <v>8</v>
      </c>
      <c r="C13" s="38" t="s">
        <v>25</v>
      </c>
      <c r="D13" s="25">
        <v>212440.55</v>
      </c>
      <c r="E13" s="25">
        <v>0</v>
      </c>
      <c r="F13" s="47">
        <f t="shared" si="2"/>
        <v>212440.55</v>
      </c>
      <c r="G13" s="25">
        <f t="shared" si="1"/>
        <v>899755.85000000009</v>
      </c>
      <c r="H13" s="48">
        <f t="shared" si="0"/>
        <v>-10.562986806051315</v>
      </c>
      <c r="I13" s="25">
        <v>1006021.8</v>
      </c>
      <c r="J13" s="45"/>
      <c r="K13" s="1"/>
      <c r="L13" s="39"/>
    </row>
    <row r="14" spans="2:12" x14ac:dyDescent="0.35">
      <c r="B14" s="40">
        <v>9</v>
      </c>
      <c r="C14" s="38" t="s">
        <v>26</v>
      </c>
      <c r="D14" s="25">
        <v>66821.509999999995</v>
      </c>
      <c r="E14" s="25">
        <v>0</v>
      </c>
      <c r="F14" s="47">
        <f t="shared" si="2"/>
        <v>66821.509999999995</v>
      </c>
      <c r="G14" s="25">
        <f t="shared" si="1"/>
        <v>966577.3600000001</v>
      </c>
      <c r="H14" s="48">
        <f t="shared" si="0"/>
        <v>-25.496879278215111</v>
      </c>
      <c r="I14" s="25">
        <f>+I13+291343.13</f>
        <v>1297364.9300000002</v>
      </c>
      <c r="J14" s="45"/>
      <c r="K14" s="1"/>
    </row>
    <row r="15" spans="2:12" x14ac:dyDescent="0.35">
      <c r="B15" s="40">
        <v>10</v>
      </c>
      <c r="C15" s="38" t="s">
        <v>62</v>
      </c>
      <c r="D15" s="25">
        <v>298695</v>
      </c>
      <c r="E15" s="25">
        <f>2818.4+2190</f>
        <v>5008.3999999999996</v>
      </c>
      <c r="F15" s="47">
        <f t="shared" si="2"/>
        <v>303703.40000000002</v>
      </c>
      <c r="G15" s="25">
        <f>+G14+F15</f>
        <v>1270280.7600000002</v>
      </c>
      <c r="H15" s="48">
        <f t="shared" si="0"/>
        <v>-15.307419953782073</v>
      </c>
      <c r="I15" s="25">
        <f>+I14+202507.62</f>
        <v>1499872.5500000003</v>
      </c>
      <c r="J15" s="45"/>
      <c r="K15" s="1"/>
    </row>
    <row r="16" spans="2:12" x14ac:dyDescent="0.35">
      <c r="B16" s="40">
        <v>11</v>
      </c>
      <c r="C16" s="38" t="s">
        <v>63</v>
      </c>
      <c r="D16" s="25">
        <v>166581.51999999999</v>
      </c>
      <c r="E16" s="25">
        <v>0</v>
      </c>
      <c r="F16" s="47">
        <f t="shared" si="2"/>
        <v>166581.51999999999</v>
      </c>
      <c r="G16" s="25">
        <f>+G15+F16</f>
        <v>1436862.2800000003</v>
      </c>
      <c r="H16" s="48">
        <f t="shared" si="0"/>
        <v>-16.306667549695568</v>
      </c>
      <c r="I16" s="25">
        <f>+I15+216945.55</f>
        <v>1716818.1000000003</v>
      </c>
      <c r="J16" s="45"/>
      <c r="K16" s="1"/>
    </row>
    <row r="17" spans="2:11" x14ac:dyDescent="0.35">
      <c r="B17" s="40">
        <v>12</v>
      </c>
      <c r="C17" s="38" t="s">
        <v>78</v>
      </c>
      <c r="D17" s="25">
        <v>199776.5</v>
      </c>
      <c r="E17" s="25">
        <v>0</v>
      </c>
      <c r="F17" s="47">
        <f t="shared" si="2"/>
        <v>199776.5</v>
      </c>
      <c r="G17" s="25">
        <f t="shared" si="1"/>
        <v>1636638.7800000003</v>
      </c>
      <c r="H17" s="48">
        <f>((G17-I17)/I17)*100</f>
        <v>-19.908776074927239</v>
      </c>
      <c r="I17" s="25">
        <f>+I16+326650.21</f>
        <v>2043468.3100000003</v>
      </c>
      <c r="J17" s="45"/>
      <c r="K17" s="1"/>
    </row>
    <row r="18" spans="2:11" x14ac:dyDescent="0.35">
      <c r="B18" s="40">
        <v>13</v>
      </c>
      <c r="C18" s="38" t="s">
        <v>64</v>
      </c>
      <c r="D18" s="25">
        <v>228932</v>
      </c>
      <c r="E18" s="25">
        <v>0</v>
      </c>
      <c r="F18" s="47">
        <f t="shared" si="2"/>
        <v>228932</v>
      </c>
      <c r="G18" s="25">
        <f t="shared" si="1"/>
        <v>1865570.7800000003</v>
      </c>
      <c r="H18" s="48">
        <f>((G18-I18)/I18)*100</f>
        <v>-12.515753073552469</v>
      </c>
      <c r="I18" s="25">
        <v>2132464.81</v>
      </c>
      <c r="J18" s="45"/>
      <c r="K18" s="1"/>
    </row>
    <row r="19" spans="2:11" x14ac:dyDescent="0.35">
      <c r="B19" s="40">
        <v>14</v>
      </c>
      <c r="C19" s="58" t="s">
        <v>65</v>
      </c>
      <c r="D19" s="25">
        <v>44366.51</v>
      </c>
      <c r="E19" s="25">
        <v>0</v>
      </c>
      <c r="F19" s="47">
        <f t="shared" si="2"/>
        <v>44366.51</v>
      </c>
      <c r="G19" s="25">
        <f t="shared" si="1"/>
        <v>1909937.2900000003</v>
      </c>
      <c r="H19" s="48">
        <f>((G19-I19)/I19)*100</f>
        <v>-15.388373075242665</v>
      </c>
      <c r="I19" s="25">
        <f>+I18+124834.05</f>
        <v>2257298.86</v>
      </c>
      <c r="J19" s="45"/>
      <c r="K19" s="1"/>
    </row>
    <row r="20" spans="2:11" x14ac:dyDescent="0.35">
      <c r="B20" s="40">
        <v>15</v>
      </c>
      <c r="C20" s="38" t="s">
        <v>66</v>
      </c>
      <c r="D20" s="25">
        <v>119424</v>
      </c>
      <c r="E20" s="25">
        <v>0</v>
      </c>
      <c r="F20" s="47">
        <f t="shared" si="2"/>
        <v>119424</v>
      </c>
      <c r="G20" s="25">
        <f t="shared" si="1"/>
        <v>2029361.2900000003</v>
      </c>
      <c r="H20" s="48">
        <f>((G20-I20)/I20)*100</f>
        <v>-17.801199441659634</v>
      </c>
      <c r="I20" s="25">
        <f>+I19+211546.52</f>
        <v>2468845.38</v>
      </c>
      <c r="J20" s="45"/>
      <c r="K20" s="1"/>
    </row>
    <row r="21" spans="2:11" x14ac:dyDescent="0.35">
      <c r="B21" s="40">
        <v>16</v>
      </c>
      <c r="C21" s="38" t="s">
        <v>67</v>
      </c>
      <c r="D21" s="25">
        <v>82566.5</v>
      </c>
      <c r="E21" s="25">
        <v>0</v>
      </c>
      <c r="F21" s="47">
        <f t="shared" si="2"/>
        <v>82566.5</v>
      </c>
      <c r="G21" s="25">
        <f t="shared" si="1"/>
        <v>2111927.79</v>
      </c>
      <c r="H21" s="48">
        <f t="shared" ref="H21:H33" si="3">((G21-I21)/I21)*100</f>
        <v>-17.596736282182139</v>
      </c>
      <c r="I21" s="25">
        <v>2562917.65</v>
      </c>
      <c r="J21" s="45"/>
      <c r="K21" s="1"/>
    </row>
    <row r="22" spans="2:11" x14ac:dyDescent="0.35">
      <c r="B22" s="40">
        <v>17</v>
      </c>
      <c r="C22" s="38" t="s">
        <v>68</v>
      </c>
      <c r="D22" s="25">
        <v>38780.5</v>
      </c>
      <c r="E22" s="25">
        <v>22369</v>
      </c>
      <c r="F22" s="47">
        <f t="shared" si="2"/>
        <v>61149.5</v>
      </c>
      <c r="G22" s="25">
        <f t="shared" si="1"/>
        <v>2173077.29</v>
      </c>
      <c r="H22" s="48">
        <f t="shared" si="3"/>
        <v>-16.333933330780965</v>
      </c>
      <c r="I22" s="25">
        <v>2597322.16</v>
      </c>
      <c r="J22" s="45"/>
      <c r="K22" s="1"/>
    </row>
    <row r="23" spans="2:11" x14ac:dyDescent="0.35">
      <c r="B23" s="40">
        <v>18</v>
      </c>
      <c r="C23" s="38" t="s">
        <v>69</v>
      </c>
      <c r="D23" s="25">
        <v>42804.5</v>
      </c>
      <c r="E23" s="25">
        <v>0</v>
      </c>
      <c r="F23" s="47">
        <f t="shared" si="2"/>
        <v>42804.5</v>
      </c>
      <c r="G23" s="25">
        <f t="shared" si="1"/>
        <v>2215881.79</v>
      </c>
      <c r="H23" s="48">
        <f t="shared" si="3"/>
        <v>-18.136680592707418</v>
      </c>
      <c r="I23" s="25">
        <f>+I22+109484.51</f>
        <v>2706806.67</v>
      </c>
      <c r="J23" s="45"/>
      <c r="K23" s="1"/>
    </row>
    <row r="24" spans="2:11" x14ac:dyDescent="0.35">
      <c r="B24" s="40">
        <v>19</v>
      </c>
      <c r="C24" s="38" t="s">
        <v>70</v>
      </c>
      <c r="D24" s="25">
        <v>49453.5</v>
      </c>
      <c r="E24" s="25">
        <v>0</v>
      </c>
      <c r="F24" s="47">
        <f t="shared" si="2"/>
        <v>49453.5</v>
      </c>
      <c r="G24" s="25">
        <f t="shared" si="1"/>
        <v>2265335.29</v>
      </c>
      <c r="H24" s="48">
        <f t="shared" si="3"/>
        <v>-17.389261479489143</v>
      </c>
      <c r="I24" s="25">
        <f>+I23+35373.5</f>
        <v>2742180.17</v>
      </c>
      <c r="J24" s="45"/>
      <c r="K24" s="1"/>
    </row>
    <row r="25" spans="2:11" x14ac:dyDescent="0.35">
      <c r="B25" s="40">
        <v>20</v>
      </c>
      <c r="C25" s="38" t="s">
        <v>85</v>
      </c>
      <c r="D25" s="25">
        <v>13070.5</v>
      </c>
      <c r="E25" s="25">
        <v>8570</v>
      </c>
      <c r="F25" s="47">
        <f t="shared" si="2"/>
        <v>21640.5</v>
      </c>
      <c r="G25" s="25">
        <f t="shared" si="1"/>
        <v>2286975.79</v>
      </c>
      <c r="H25" s="48">
        <f t="shared" si="3"/>
        <v>-18.916151034523683</v>
      </c>
      <c r="I25" s="25">
        <f>+I24+78327.02</f>
        <v>2820507.19</v>
      </c>
      <c r="J25" s="45"/>
      <c r="K25" s="1"/>
    </row>
    <row r="26" spans="2:11" x14ac:dyDescent="0.35">
      <c r="B26" s="40">
        <v>21</v>
      </c>
      <c r="C26" s="38" t="s">
        <v>72</v>
      </c>
      <c r="D26" s="25">
        <v>23914</v>
      </c>
      <c r="E26" s="25">
        <v>0</v>
      </c>
      <c r="F26" s="47">
        <f t="shared" si="2"/>
        <v>23914</v>
      </c>
      <c r="G26" s="25">
        <f>+G25+F26</f>
        <v>2310889.79</v>
      </c>
      <c r="H26" s="48">
        <f t="shared" si="3"/>
        <v>-18.430614970473595</v>
      </c>
      <c r="I26" s="25">
        <f>+I25+12528.5</f>
        <v>2833035.69</v>
      </c>
      <c r="J26" s="45"/>
      <c r="K26" s="1"/>
    </row>
    <row r="27" spans="2:11" x14ac:dyDescent="0.35">
      <c r="B27" s="40">
        <v>22</v>
      </c>
      <c r="C27" s="38" t="s">
        <v>73</v>
      </c>
      <c r="D27" s="25">
        <v>95779.5</v>
      </c>
      <c r="E27" s="25">
        <v>0</v>
      </c>
      <c r="F27" s="47">
        <f t="shared" si="2"/>
        <v>95779.5</v>
      </c>
      <c r="G27" s="25">
        <f t="shared" si="1"/>
        <v>2406669.29</v>
      </c>
      <c r="H27" s="48">
        <f t="shared" si="3"/>
        <v>-15.059041425362693</v>
      </c>
      <c r="I27" s="25">
        <f>+I26+308</f>
        <v>2833343.69</v>
      </c>
      <c r="J27" s="45"/>
      <c r="K27" s="1"/>
    </row>
    <row r="28" spans="2:11" x14ac:dyDescent="0.35">
      <c r="B28" s="40">
        <v>23</v>
      </c>
      <c r="C28" s="38" t="s">
        <v>80</v>
      </c>
      <c r="D28" s="25">
        <v>121885</v>
      </c>
      <c r="E28" s="25">
        <v>0</v>
      </c>
      <c r="F28" s="47">
        <f t="shared" si="2"/>
        <v>121885</v>
      </c>
      <c r="G28" s="25">
        <f t="shared" si="1"/>
        <v>2528554.29</v>
      </c>
      <c r="H28" s="48">
        <f t="shared" si="3"/>
        <v>-10.757233620323694</v>
      </c>
      <c r="I28" s="25">
        <f>+I27+0</f>
        <v>2833343.69</v>
      </c>
      <c r="J28" s="45"/>
    </row>
    <row r="29" spans="2:11" x14ac:dyDescent="0.35">
      <c r="B29" s="40">
        <v>24</v>
      </c>
      <c r="C29" s="38" t="s">
        <v>75</v>
      </c>
      <c r="D29" s="25">
        <v>7170</v>
      </c>
      <c r="E29" s="25">
        <v>0</v>
      </c>
      <c r="F29" s="47">
        <f t="shared" si="2"/>
        <v>7170</v>
      </c>
      <c r="G29" s="25">
        <f t="shared" si="1"/>
        <v>2535724.29</v>
      </c>
      <c r="H29" s="48">
        <f t="shared" si="3"/>
        <v>-4.0222821358373979</v>
      </c>
      <c r="I29" s="25">
        <f>+I28-191351</f>
        <v>2641992.69</v>
      </c>
      <c r="J29" s="45"/>
    </row>
    <row r="30" spans="2:11" x14ac:dyDescent="0.35">
      <c r="B30" s="40">
        <v>25</v>
      </c>
      <c r="C30" s="77" t="s">
        <v>76</v>
      </c>
      <c r="D30" s="25">
        <v>26974.5</v>
      </c>
      <c r="E30" s="25">
        <v>0</v>
      </c>
      <c r="F30" s="47">
        <f t="shared" si="2"/>
        <v>26974.5</v>
      </c>
      <c r="G30" s="25">
        <f t="shared" si="1"/>
        <v>2562698.79</v>
      </c>
      <c r="H30" s="48">
        <f t="shared" si="3"/>
        <v>-3.0012914229524195</v>
      </c>
      <c r="I30" s="25">
        <f>+I29+0</f>
        <v>2641992.69</v>
      </c>
      <c r="J30" s="45"/>
    </row>
    <row r="31" spans="2:11" x14ac:dyDescent="0.35">
      <c r="B31" s="111">
        <v>26</v>
      </c>
      <c r="C31" s="112" t="s">
        <v>77</v>
      </c>
      <c r="D31" s="105">
        <v>383.9</v>
      </c>
      <c r="E31" s="106">
        <v>0</v>
      </c>
      <c r="F31" s="107">
        <f t="shared" si="2"/>
        <v>383.9</v>
      </c>
      <c r="G31" s="106">
        <f t="shared" si="1"/>
        <v>2563082.69</v>
      </c>
      <c r="H31" s="48">
        <f t="shared" si="3"/>
        <v>-2.986760724156281</v>
      </c>
      <c r="I31" s="25">
        <f>+I30+0</f>
        <v>2641992.69</v>
      </c>
      <c r="J31" s="45"/>
    </row>
    <row r="32" spans="2:11" x14ac:dyDescent="0.35">
      <c r="B32" s="111">
        <v>27</v>
      </c>
      <c r="C32" s="112" t="s">
        <v>81</v>
      </c>
      <c r="D32" s="119">
        <v>34845</v>
      </c>
      <c r="E32" s="120">
        <v>0</v>
      </c>
      <c r="F32" s="121">
        <f t="shared" si="2"/>
        <v>34845</v>
      </c>
      <c r="G32" s="120">
        <f t="shared" si="1"/>
        <v>2597927.69</v>
      </c>
      <c r="H32" s="48">
        <f t="shared" si="3"/>
        <v>-1.6678698683303321</v>
      </c>
      <c r="I32" s="25">
        <f>+I31+0</f>
        <v>2641992.69</v>
      </c>
      <c r="J32" s="45"/>
    </row>
    <row r="33" spans="2:12" x14ac:dyDescent="0.35">
      <c r="B33" s="110">
        <v>28</v>
      </c>
      <c r="C33" s="77" t="s">
        <v>87</v>
      </c>
      <c r="D33" s="108">
        <v>39783.5</v>
      </c>
      <c r="E33" s="108">
        <v>16549.5</v>
      </c>
      <c r="F33" s="109">
        <f t="shared" si="2"/>
        <v>56333</v>
      </c>
      <c r="G33" s="109">
        <f t="shared" si="1"/>
        <v>2654260.69</v>
      </c>
      <c r="H33" s="48">
        <f t="shared" si="3"/>
        <v>0.46434647780952037</v>
      </c>
      <c r="I33" s="25">
        <f>+I32+0</f>
        <v>2641992.69</v>
      </c>
      <c r="J33" s="45"/>
    </row>
    <row r="34" spans="2:12" hidden="1" x14ac:dyDescent="0.35">
      <c r="B34" s="40">
        <v>29</v>
      </c>
      <c r="C34" s="16" t="s">
        <v>31</v>
      </c>
      <c r="D34" s="25"/>
      <c r="E34" s="25"/>
      <c r="F34" s="47">
        <f t="shared" ref="F34:F47" si="4">+E34+D34</f>
        <v>0</v>
      </c>
      <c r="G34" s="25">
        <f t="shared" ref="G34:G36" si="5">+G33+F34</f>
        <v>2654260.69</v>
      </c>
      <c r="H34" s="48">
        <v>0</v>
      </c>
      <c r="I34" s="25">
        <v>0</v>
      </c>
      <c r="J34" s="45"/>
    </row>
    <row r="35" spans="2:12" hidden="1" x14ac:dyDescent="0.35">
      <c r="B35" s="40">
        <v>30</v>
      </c>
      <c r="C35" s="17" t="s">
        <v>32</v>
      </c>
      <c r="D35" s="25"/>
      <c r="E35" s="25"/>
      <c r="F35" s="47">
        <f t="shared" si="4"/>
        <v>0</v>
      </c>
      <c r="G35" s="25">
        <f t="shared" si="5"/>
        <v>2654260.69</v>
      </c>
      <c r="H35" s="48">
        <v>0</v>
      </c>
      <c r="I35" s="25">
        <v>0</v>
      </c>
      <c r="J35" s="45"/>
    </row>
    <row r="36" spans="2:12" hidden="1" x14ac:dyDescent="0.35">
      <c r="B36" s="40">
        <v>31</v>
      </c>
      <c r="C36" s="27" t="s">
        <v>33</v>
      </c>
      <c r="D36" s="31"/>
      <c r="E36" s="31"/>
      <c r="F36" s="55">
        <f t="shared" si="4"/>
        <v>0</v>
      </c>
      <c r="G36" s="31">
        <f t="shared" si="5"/>
        <v>2654260.69</v>
      </c>
      <c r="H36" s="56">
        <v>0</v>
      </c>
      <c r="I36" s="31">
        <v>0</v>
      </c>
      <c r="J36" s="45"/>
    </row>
    <row r="37" spans="2:12" hidden="1" x14ac:dyDescent="0.35">
      <c r="B37" s="40">
        <v>32</v>
      </c>
      <c r="C37" s="16" t="s">
        <v>29</v>
      </c>
      <c r="D37" s="25"/>
      <c r="E37" s="25"/>
      <c r="F37" s="47">
        <f t="shared" si="4"/>
        <v>0</v>
      </c>
      <c r="G37" s="25">
        <f>+G29+F37</f>
        <v>2535724.29</v>
      </c>
      <c r="H37" s="48">
        <v>0</v>
      </c>
      <c r="I37" s="25">
        <v>0</v>
      </c>
      <c r="J37" s="45"/>
    </row>
    <row r="38" spans="2:12" hidden="1" x14ac:dyDescent="0.35">
      <c r="B38" s="40">
        <v>33</v>
      </c>
      <c r="C38" s="16" t="s">
        <v>27</v>
      </c>
      <c r="D38" s="25"/>
      <c r="E38" s="25"/>
      <c r="F38" s="47">
        <f t="shared" si="4"/>
        <v>0</v>
      </c>
      <c r="G38" s="25">
        <f t="shared" ref="G38:G43" si="6">+G37+F38</f>
        <v>2535724.29</v>
      </c>
      <c r="H38" s="48">
        <v>0</v>
      </c>
      <c r="I38" s="25">
        <v>0</v>
      </c>
      <c r="J38" s="45"/>
    </row>
    <row r="39" spans="2:12" hidden="1" x14ac:dyDescent="0.35">
      <c r="B39" s="40">
        <v>34</v>
      </c>
      <c r="C39" s="16" t="s">
        <v>28</v>
      </c>
      <c r="D39" s="25"/>
      <c r="E39" s="25"/>
      <c r="F39" s="47">
        <f t="shared" si="4"/>
        <v>0</v>
      </c>
      <c r="G39" s="25">
        <f t="shared" si="6"/>
        <v>2535724.29</v>
      </c>
      <c r="H39" s="48">
        <v>0</v>
      </c>
      <c r="I39" s="25">
        <v>0</v>
      </c>
      <c r="J39" s="45"/>
    </row>
    <row r="40" spans="2:12" hidden="1" x14ac:dyDescent="0.35">
      <c r="B40" s="40">
        <v>35</v>
      </c>
      <c r="C40" s="16" t="s">
        <v>29</v>
      </c>
      <c r="D40" s="25"/>
      <c r="E40" s="25"/>
      <c r="F40" s="47">
        <f t="shared" si="4"/>
        <v>0</v>
      </c>
      <c r="G40" s="25">
        <f t="shared" si="6"/>
        <v>2535724.29</v>
      </c>
      <c r="H40" s="48">
        <v>0</v>
      </c>
      <c r="I40" s="25">
        <v>0</v>
      </c>
      <c r="J40" s="45"/>
    </row>
    <row r="41" spans="2:12" hidden="1" x14ac:dyDescent="0.35">
      <c r="B41" s="40">
        <v>36</v>
      </c>
      <c r="C41" s="16" t="s">
        <v>30</v>
      </c>
      <c r="D41" s="25"/>
      <c r="E41" s="25"/>
      <c r="F41" s="47">
        <f t="shared" si="4"/>
        <v>0</v>
      </c>
      <c r="G41" s="25">
        <f t="shared" si="6"/>
        <v>2535724.29</v>
      </c>
      <c r="H41" s="48">
        <v>0</v>
      </c>
      <c r="I41" s="25">
        <v>0</v>
      </c>
      <c r="J41" s="45"/>
    </row>
    <row r="42" spans="2:12" hidden="1" x14ac:dyDescent="0.35">
      <c r="B42" s="40">
        <v>37</v>
      </c>
      <c r="C42" s="16" t="s">
        <v>31</v>
      </c>
      <c r="D42" s="25"/>
      <c r="E42" s="25"/>
      <c r="F42" s="47">
        <f t="shared" si="4"/>
        <v>0</v>
      </c>
      <c r="G42" s="25">
        <f t="shared" si="6"/>
        <v>2535724.29</v>
      </c>
      <c r="H42" s="48">
        <v>0</v>
      </c>
      <c r="I42" s="25">
        <v>0</v>
      </c>
      <c r="J42" s="45"/>
    </row>
    <row r="43" spans="2:12" hidden="1" x14ac:dyDescent="0.35">
      <c r="B43" s="40">
        <v>38</v>
      </c>
      <c r="C43" s="17" t="s">
        <v>32</v>
      </c>
      <c r="D43" s="25"/>
      <c r="E43" s="25"/>
      <c r="F43" s="47">
        <f t="shared" si="4"/>
        <v>0</v>
      </c>
      <c r="G43" s="25">
        <f t="shared" si="6"/>
        <v>2535724.29</v>
      </c>
      <c r="H43" s="48">
        <v>0</v>
      </c>
      <c r="I43" s="25">
        <v>0</v>
      </c>
      <c r="J43" s="45"/>
    </row>
    <row r="44" spans="2:12" hidden="1" x14ac:dyDescent="0.35">
      <c r="B44" s="40">
        <v>39</v>
      </c>
      <c r="C44" s="16" t="s">
        <v>30</v>
      </c>
      <c r="D44" s="25"/>
      <c r="E44" s="25"/>
      <c r="F44" s="47">
        <f t="shared" si="4"/>
        <v>0</v>
      </c>
      <c r="G44" s="25">
        <f>+G27+F44</f>
        <v>2406669.29</v>
      </c>
      <c r="H44" s="48">
        <v>0</v>
      </c>
      <c r="I44" s="25">
        <v>0</v>
      </c>
      <c r="J44" s="45"/>
      <c r="K44" s="1"/>
    </row>
    <row r="45" spans="2:12" hidden="1" x14ac:dyDescent="0.35">
      <c r="B45" s="40">
        <v>40</v>
      </c>
      <c r="C45" s="16" t="s">
        <v>31</v>
      </c>
      <c r="D45" s="25"/>
      <c r="E45" s="25"/>
      <c r="F45" s="47">
        <f t="shared" si="4"/>
        <v>0</v>
      </c>
      <c r="G45" s="25">
        <f t="shared" ref="G45:G47" si="7">+G44+F45</f>
        <v>2406669.29</v>
      </c>
      <c r="H45" s="48">
        <v>0</v>
      </c>
      <c r="I45" s="25">
        <v>0</v>
      </c>
      <c r="J45" s="45"/>
      <c r="K45" s="1"/>
    </row>
    <row r="46" spans="2:12" hidden="1" x14ac:dyDescent="0.35">
      <c r="B46" s="40">
        <v>41</v>
      </c>
      <c r="C46" s="17" t="s">
        <v>32</v>
      </c>
      <c r="D46" s="25"/>
      <c r="E46" s="25"/>
      <c r="F46" s="47">
        <f t="shared" si="4"/>
        <v>0</v>
      </c>
      <c r="G46" s="25">
        <f t="shared" si="7"/>
        <v>2406669.29</v>
      </c>
      <c r="H46" s="48">
        <v>0</v>
      </c>
      <c r="I46" s="25">
        <v>0</v>
      </c>
      <c r="J46" s="45"/>
      <c r="K46" s="1"/>
    </row>
    <row r="47" spans="2:12" hidden="1" x14ac:dyDescent="0.35">
      <c r="B47" s="40">
        <v>42</v>
      </c>
      <c r="C47" s="27" t="s">
        <v>33</v>
      </c>
      <c r="D47" s="31"/>
      <c r="E47" s="31"/>
      <c r="F47" s="55">
        <f t="shared" si="4"/>
        <v>0</v>
      </c>
      <c r="G47" s="31">
        <f t="shared" si="7"/>
        <v>2406669.29</v>
      </c>
      <c r="H47" s="56">
        <v>0</v>
      </c>
      <c r="I47" s="31">
        <v>0</v>
      </c>
      <c r="J47" s="45"/>
      <c r="K47" s="1"/>
    </row>
    <row r="48" spans="2:12" x14ac:dyDescent="0.35">
      <c r="B48" s="5"/>
      <c r="C48" s="5"/>
      <c r="D48" s="6"/>
      <c r="E48" s="6"/>
      <c r="F48" s="6"/>
      <c r="G48" s="6"/>
      <c r="H48" s="6"/>
      <c r="I48" s="6"/>
      <c r="J48" s="6"/>
      <c r="K48" s="1"/>
      <c r="L48" s="37"/>
    </row>
    <row r="49" spans="2:11" x14ac:dyDescent="0.35">
      <c r="B49" s="8" t="s">
        <v>34</v>
      </c>
      <c r="C49" s="5"/>
      <c r="D49" s="6"/>
      <c r="E49" s="6"/>
      <c r="F49" s="6"/>
      <c r="G49" s="6"/>
      <c r="H49" s="6"/>
      <c r="I49" s="6"/>
      <c r="J49" s="6"/>
      <c r="K49" s="1"/>
    </row>
    <row r="50" spans="2:11" x14ac:dyDescent="0.35">
      <c r="B50" s="9" t="s">
        <v>35</v>
      </c>
      <c r="C50" s="5"/>
      <c r="D50" s="6"/>
      <c r="E50" s="6"/>
      <c r="F50" s="6"/>
      <c r="G50" s="6"/>
      <c r="H50" s="6"/>
      <c r="I50" s="6"/>
      <c r="J50" s="6"/>
      <c r="K50" s="1"/>
    </row>
    <row r="51" spans="2:11" x14ac:dyDescent="0.35">
      <c r="B51" s="9" t="s">
        <v>36</v>
      </c>
      <c r="C51" s="5"/>
      <c r="D51" s="6"/>
      <c r="E51" s="6"/>
      <c r="F51" s="6"/>
      <c r="G51" s="6"/>
      <c r="H51" s="6"/>
      <c r="I51" s="6"/>
      <c r="J51" s="6"/>
      <c r="K51" s="1"/>
    </row>
    <row r="52" spans="2:11" x14ac:dyDescent="0.35">
      <c r="B52" s="9" t="s">
        <v>37</v>
      </c>
      <c r="C52" s="5"/>
      <c r="D52" s="6"/>
      <c r="E52" s="6"/>
      <c r="F52" s="6"/>
      <c r="G52" s="6"/>
      <c r="H52" s="6"/>
      <c r="I52" s="6"/>
      <c r="J52" s="6"/>
      <c r="K52" s="1"/>
    </row>
    <row r="53" spans="2:11" x14ac:dyDescent="0.35">
      <c r="B53" s="9"/>
      <c r="C53" s="5"/>
      <c r="D53" s="6"/>
      <c r="E53" s="6"/>
      <c r="F53" s="6"/>
      <c r="G53" s="6"/>
      <c r="H53" s="6"/>
      <c r="I53" s="6"/>
      <c r="J53" s="6"/>
      <c r="K53" s="1"/>
    </row>
    <row r="54" spans="2:11" x14ac:dyDescent="0.35">
      <c r="B54" s="9"/>
      <c r="C54" s="5"/>
      <c r="D54" s="6"/>
      <c r="E54" s="6"/>
      <c r="F54" s="6"/>
      <c r="G54" s="6"/>
      <c r="H54" s="6"/>
      <c r="I54" s="6"/>
      <c r="J54" s="6"/>
      <c r="K54" s="1"/>
    </row>
    <row r="55" spans="2:11" ht="18.5" x14ac:dyDescent="0.45">
      <c r="B55" s="10"/>
      <c r="C55" s="10"/>
      <c r="D55" s="152" t="s">
        <v>38</v>
      </c>
      <c r="E55" s="152"/>
      <c r="F55" s="152"/>
      <c r="G55" s="152"/>
      <c r="H55" s="152"/>
      <c r="I55" s="152"/>
      <c r="J55" s="42"/>
    </row>
    <row r="56" spans="2:11" s="35" customFormat="1" ht="18.5" x14ac:dyDescent="0.45">
      <c r="B56" s="26"/>
      <c r="C56" s="26"/>
      <c r="D56" s="185" t="s">
        <v>49</v>
      </c>
      <c r="E56" s="185"/>
      <c r="F56" s="185"/>
      <c r="G56" s="185"/>
      <c r="H56" s="185"/>
      <c r="I56" s="185"/>
      <c r="J56" s="52"/>
    </row>
    <row r="57" spans="2:11" ht="15.9" customHeight="1" x14ac:dyDescent="0.4">
      <c r="B57" s="128" t="s">
        <v>88</v>
      </c>
      <c r="C57" s="128"/>
      <c r="D57" s="128"/>
      <c r="E57" s="128"/>
      <c r="F57" s="128"/>
      <c r="G57" s="128"/>
      <c r="H57" s="128"/>
      <c r="I57" s="128"/>
      <c r="J57" s="128"/>
    </row>
    <row r="58" spans="2:11" ht="14.4" customHeight="1" x14ac:dyDescent="0.35">
      <c r="B58" s="14"/>
      <c r="C58" s="15"/>
      <c r="D58" s="142" t="s">
        <v>6</v>
      </c>
      <c r="E58" s="143"/>
      <c r="F58" s="143"/>
      <c r="G58" s="144"/>
      <c r="H58" s="129" t="s">
        <v>7</v>
      </c>
      <c r="I58" s="130"/>
      <c r="J58" s="53"/>
    </row>
    <row r="59" spans="2:11" x14ac:dyDescent="0.35">
      <c r="B59" s="12"/>
      <c r="C59" s="13"/>
      <c r="D59" s="145" t="s">
        <v>9</v>
      </c>
      <c r="E59" s="146"/>
      <c r="F59" s="146"/>
      <c r="G59" s="147"/>
      <c r="H59" s="131"/>
      <c r="I59" s="132"/>
      <c r="J59" s="53"/>
    </row>
    <row r="60" spans="2:11" ht="14.4" customHeight="1" x14ac:dyDescent="0.35">
      <c r="B60" s="133" t="s">
        <v>10</v>
      </c>
      <c r="C60" s="135" t="s">
        <v>11</v>
      </c>
      <c r="D60" s="51" t="s">
        <v>12</v>
      </c>
      <c r="E60" s="51" t="s">
        <v>13</v>
      </c>
      <c r="F60" s="51" t="s">
        <v>14</v>
      </c>
      <c r="G60" s="51" t="s">
        <v>15</v>
      </c>
      <c r="H60" s="124" t="s">
        <v>16</v>
      </c>
      <c r="I60" s="126" t="s">
        <v>17</v>
      </c>
      <c r="J60" s="54"/>
    </row>
    <row r="61" spans="2:11" ht="38.4" customHeight="1" x14ac:dyDescent="0.35">
      <c r="B61" s="134"/>
      <c r="C61" s="136"/>
      <c r="D61" s="154" t="s">
        <v>20</v>
      </c>
      <c r="E61" s="155"/>
      <c r="F61" s="155"/>
      <c r="G61" s="156"/>
      <c r="H61" s="125"/>
      <c r="I61" s="127"/>
      <c r="J61" s="54"/>
    </row>
    <row r="62" spans="2:11" x14ac:dyDescent="0.35">
      <c r="B62" s="40">
        <v>4</v>
      </c>
      <c r="C62" s="38" t="s">
        <v>21</v>
      </c>
      <c r="D62" s="20">
        <v>178440.81</v>
      </c>
      <c r="E62" s="20">
        <v>0</v>
      </c>
      <c r="F62" s="43">
        <f>+D62+E62</f>
        <v>178440.81</v>
      </c>
      <c r="G62" s="20">
        <f>+F62</f>
        <v>178440.81</v>
      </c>
      <c r="H62" s="44">
        <f t="shared" ref="H62:H69" si="8">((G62-I62)/I62)*100</f>
        <v>467.5598282442748</v>
      </c>
      <c r="I62" s="20">
        <v>31440</v>
      </c>
      <c r="J62" s="45"/>
    </row>
    <row r="63" spans="2:11" x14ac:dyDescent="0.35">
      <c r="B63" s="40">
        <v>5</v>
      </c>
      <c r="C63" s="38" t="s">
        <v>22</v>
      </c>
      <c r="D63" s="25">
        <v>71740.399999999994</v>
      </c>
      <c r="E63" s="25">
        <v>0</v>
      </c>
      <c r="F63" s="47">
        <f>+E63+D63</f>
        <v>71740.399999999994</v>
      </c>
      <c r="G63" s="25">
        <f>+G62+F63</f>
        <v>250181.21</v>
      </c>
      <c r="H63" s="48">
        <f t="shared" si="8"/>
        <v>24.575634243165592</v>
      </c>
      <c r="I63" s="25">
        <f>+I62+169386.76</f>
        <v>200826.76</v>
      </c>
      <c r="J63" s="45"/>
    </row>
    <row r="64" spans="2:11" x14ac:dyDescent="0.35">
      <c r="B64" s="40">
        <v>6</v>
      </c>
      <c r="C64" s="38" t="s">
        <v>23</v>
      </c>
      <c r="D64" s="25">
        <v>233351</v>
      </c>
      <c r="E64" s="25">
        <v>0</v>
      </c>
      <c r="F64" s="47">
        <f>+E64+D64</f>
        <v>233351</v>
      </c>
      <c r="G64" s="25">
        <f t="shared" ref="G64" si="9">+G63+F64</f>
        <v>483532.20999999996</v>
      </c>
      <c r="H64" s="48">
        <f t="shared" si="8"/>
        <v>88.683523925467185</v>
      </c>
      <c r="I64" s="25">
        <f>+I63+55439.5</f>
        <v>256266.26</v>
      </c>
      <c r="J64" s="45"/>
    </row>
    <row r="65" spans="2:10" x14ac:dyDescent="0.35">
      <c r="B65" s="40">
        <v>7</v>
      </c>
      <c r="C65" s="38" t="s">
        <v>24</v>
      </c>
      <c r="D65" s="25">
        <v>57485</v>
      </c>
      <c r="E65" s="25">
        <v>107820.5</v>
      </c>
      <c r="F65" s="47">
        <f t="shared" ref="F65:F86" si="10">+E65+D65</f>
        <v>165305.5</v>
      </c>
      <c r="G65" s="25">
        <f>+G64+F65</f>
        <v>648837.71</v>
      </c>
      <c r="H65" s="48">
        <f t="shared" si="8"/>
        <v>75.564505301344838</v>
      </c>
      <c r="I65" s="25">
        <f>+I64+113306</f>
        <v>369572.26</v>
      </c>
      <c r="J65" s="45"/>
    </row>
    <row r="66" spans="2:10" x14ac:dyDescent="0.35">
      <c r="B66" s="40">
        <v>8</v>
      </c>
      <c r="C66" s="38" t="s">
        <v>25</v>
      </c>
      <c r="D66" s="25">
        <v>203668</v>
      </c>
      <c r="E66" s="25">
        <v>0</v>
      </c>
      <c r="F66" s="47">
        <f t="shared" si="10"/>
        <v>203668</v>
      </c>
      <c r="G66" s="25">
        <f t="shared" ref="G66:G86" si="11">+G65+F66</f>
        <v>852505.71</v>
      </c>
      <c r="H66" s="48">
        <f t="shared" si="8"/>
        <v>97.920322896079838</v>
      </c>
      <c r="I66" s="25">
        <v>430731.77</v>
      </c>
      <c r="J66" s="45"/>
    </row>
    <row r="67" spans="2:10" x14ac:dyDescent="0.35">
      <c r="B67" s="40">
        <v>9</v>
      </c>
      <c r="C67" s="38" t="s">
        <v>26</v>
      </c>
      <c r="D67" s="25">
        <v>65282</v>
      </c>
      <c r="E67" s="25">
        <v>0</v>
      </c>
      <c r="F67" s="47">
        <f t="shared" si="10"/>
        <v>65282</v>
      </c>
      <c r="G67" s="25">
        <f t="shared" si="11"/>
        <v>917787.71</v>
      </c>
      <c r="H67" s="48">
        <f t="shared" si="8"/>
        <v>45.660291242907583</v>
      </c>
      <c r="I67" s="25">
        <f>+I66+199356.02</f>
        <v>630087.79</v>
      </c>
      <c r="J67" s="45"/>
    </row>
    <row r="68" spans="2:10" x14ac:dyDescent="0.35">
      <c r="B68" s="40">
        <v>10</v>
      </c>
      <c r="C68" s="38" t="s">
        <v>62</v>
      </c>
      <c r="D68" s="25">
        <v>278227.5</v>
      </c>
      <c r="E68" s="25">
        <f>2818.4+2190</f>
        <v>5008.3999999999996</v>
      </c>
      <c r="F68" s="47">
        <f t="shared" si="10"/>
        <v>283235.90000000002</v>
      </c>
      <c r="G68" s="25">
        <f t="shared" si="11"/>
        <v>1201023.6099999999</v>
      </c>
      <c r="H68" s="48">
        <f t="shared" si="8"/>
        <v>52.205694056423638</v>
      </c>
      <c r="I68" s="25">
        <f>+I67+158991.5</f>
        <v>789079.29</v>
      </c>
      <c r="J68" s="45"/>
    </row>
    <row r="69" spans="2:10" x14ac:dyDescent="0.35">
      <c r="B69" s="40">
        <v>11</v>
      </c>
      <c r="C69" s="38" t="s">
        <v>63</v>
      </c>
      <c r="D69" s="25">
        <v>161506.51</v>
      </c>
      <c r="E69" s="25">
        <v>0</v>
      </c>
      <c r="F69" s="47">
        <f t="shared" si="10"/>
        <v>161506.51</v>
      </c>
      <c r="G69" s="25">
        <f t="shared" si="11"/>
        <v>1362530.1199999999</v>
      </c>
      <c r="H69" s="48">
        <f t="shared" si="8"/>
        <v>44.244015037886882</v>
      </c>
      <c r="I69" s="25">
        <f>+I68+155521.51</f>
        <v>944600.8</v>
      </c>
      <c r="J69" s="45"/>
    </row>
    <row r="70" spans="2:10" x14ac:dyDescent="0.35">
      <c r="B70" s="40">
        <v>12</v>
      </c>
      <c r="C70" s="38" t="s">
        <v>78</v>
      </c>
      <c r="D70" s="25">
        <v>160145.5</v>
      </c>
      <c r="E70" s="25">
        <v>0</v>
      </c>
      <c r="F70" s="47">
        <f t="shared" si="10"/>
        <v>160145.5</v>
      </c>
      <c r="G70" s="25">
        <f t="shared" si="11"/>
        <v>1522675.6199999999</v>
      </c>
      <c r="H70" s="48">
        <f>((G70-I70)/I70)*100</f>
        <v>35.74352448357795</v>
      </c>
      <c r="I70" s="25">
        <f>+I69+177129.04</f>
        <v>1121729.8400000001</v>
      </c>
      <c r="J70" s="45"/>
    </row>
    <row r="71" spans="2:10" x14ac:dyDescent="0.35">
      <c r="B71" s="40">
        <v>13</v>
      </c>
      <c r="C71" s="38" t="s">
        <v>64</v>
      </c>
      <c r="D71" s="25">
        <v>204445.5</v>
      </c>
      <c r="E71" s="25">
        <v>0</v>
      </c>
      <c r="F71" s="47">
        <f t="shared" si="10"/>
        <v>204445.5</v>
      </c>
      <c r="G71" s="25">
        <f t="shared" si="11"/>
        <v>1727121.1199999999</v>
      </c>
      <c r="H71" s="48">
        <f>((G71-I71)/I71)*100</f>
        <v>43.361397603055941</v>
      </c>
      <c r="I71" s="25">
        <v>1204732.3400000001</v>
      </c>
      <c r="J71" s="45"/>
    </row>
    <row r="72" spans="2:10" x14ac:dyDescent="0.35">
      <c r="B72" s="40">
        <v>14</v>
      </c>
      <c r="C72" s="58" t="s">
        <v>65</v>
      </c>
      <c r="D72" s="25">
        <v>40266.51</v>
      </c>
      <c r="E72" s="25">
        <v>0</v>
      </c>
      <c r="F72" s="47">
        <f t="shared" si="10"/>
        <v>40266.51</v>
      </c>
      <c r="G72" s="25">
        <f t="shared" si="11"/>
        <v>1767387.63</v>
      </c>
      <c r="H72" s="48">
        <f>((G72-I72)/I72)*100</f>
        <v>37.367906628093721</v>
      </c>
      <c r="I72" s="25">
        <f>+I71+81876.5</f>
        <v>1286608.8400000001</v>
      </c>
      <c r="J72" s="45"/>
    </row>
    <row r="73" spans="2:10" x14ac:dyDescent="0.35">
      <c r="B73" s="40">
        <v>15</v>
      </c>
      <c r="C73" s="38" t="s">
        <v>66</v>
      </c>
      <c r="D73" s="25">
        <v>88103.5</v>
      </c>
      <c r="E73" s="25">
        <v>0</v>
      </c>
      <c r="F73" s="47">
        <f t="shared" si="10"/>
        <v>88103.5</v>
      </c>
      <c r="G73" s="25">
        <f t="shared" si="11"/>
        <v>1855491.13</v>
      </c>
      <c r="H73" s="48">
        <f>((G73-I73)/I73)*100</f>
        <v>24.892603458501704</v>
      </c>
      <c r="I73" s="25">
        <f>+I72+199060.51</f>
        <v>1485669.35</v>
      </c>
      <c r="J73" s="45"/>
    </row>
    <row r="74" spans="2:10" x14ac:dyDescent="0.35">
      <c r="B74" s="40">
        <v>16</v>
      </c>
      <c r="C74" s="38" t="s">
        <v>67</v>
      </c>
      <c r="D74" s="25">
        <v>47891</v>
      </c>
      <c r="E74" s="25">
        <v>0</v>
      </c>
      <c r="F74" s="47">
        <f t="shared" si="10"/>
        <v>47891</v>
      </c>
      <c r="G74" s="25">
        <f t="shared" si="11"/>
        <v>1903382.13</v>
      </c>
      <c r="H74" s="48">
        <f t="shared" ref="H74:H86" si="12">((G74-I74)/I74)*100</f>
        <v>20.594372628781528</v>
      </c>
      <c r="I74" s="25">
        <v>1578334.12</v>
      </c>
      <c r="J74" s="45"/>
    </row>
    <row r="75" spans="2:10" x14ac:dyDescent="0.35">
      <c r="B75" s="40">
        <v>17</v>
      </c>
      <c r="C75" s="38" t="s">
        <v>68</v>
      </c>
      <c r="D75" s="25">
        <v>494</v>
      </c>
      <c r="E75" s="25">
        <v>22369</v>
      </c>
      <c r="F75" s="47">
        <f t="shared" si="10"/>
        <v>22863</v>
      </c>
      <c r="G75" s="25">
        <f t="shared" si="11"/>
        <v>1926245.13</v>
      </c>
      <c r="H75" s="48">
        <f t="shared" si="12"/>
        <v>21.19432224383657</v>
      </c>
      <c r="I75" s="25">
        <v>1589385.62</v>
      </c>
      <c r="J75" s="45"/>
    </row>
    <row r="76" spans="2:10" x14ac:dyDescent="0.35">
      <c r="B76" s="40">
        <v>18</v>
      </c>
      <c r="C76" s="38" t="s">
        <v>69</v>
      </c>
      <c r="D76" s="25">
        <v>16687.5</v>
      </c>
      <c r="E76" s="25">
        <v>0</v>
      </c>
      <c r="F76" s="47">
        <f t="shared" si="10"/>
        <v>16687.5</v>
      </c>
      <c r="G76" s="25">
        <f t="shared" si="11"/>
        <v>1942932.63</v>
      </c>
      <c r="H76" s="48">
        <f t="shared" si="12"/>
        <v>18.38223729129318</v>
      </c>
      <c r="I76" s="25">
        <f>+I75+51851</f>
        <v>1641236.62</v>
      </c>
      <c r="J76" s="45"/>
    </row>
    <row r="77" spans="2:10" x14ac:dyDescent="0.35">
      <c r="B77" s="40">
        <v>19</v>
      </c>
      <c r="C77" s="38" t="s">
        <v>70</v>
      </c>
      <c r="D77" s="25">
        <v>20526.5</v>
      </c>
      <c r="E77" s="25">
        <v>0</v>
      </c>
      <c r="F77" s="47">
        <f t="shared" si="10"/>
        <v>20526.5</v>
      </c>
      <c r="G77" s="25">
        <f t="shared" si="11"/>
        <v>1963459.13</v>
      </c>
      <c r="H77" s="48">
        <f t="shared" si="12"/>
        <v>19.150496380923272</v>
      </c>
      <c r="I77" s="25">
        <f>+I76+6645</f>
        <v>1647881.62</v>
      </c>
      <c r="J77" s="45"/>
    </row>
    <row r="78" spans="2:10" x14ac:dyDescent="0.35">
      <c r="B78" s="40">
        <v>20</v>
      </c>
      <c r="C78" s="38" t="s">
        <v>85</v>
      </c>
      <c r="D78" s="25">
        <v>6019</v>
      </c>
      <c r="E78" s="25">
        <v>8570</v>
      </c>
      <c r="F78" s="47">
        <f t="shared" si="10"/>
        <v>14589</v>
      </c>
      <c r="G78" s="25">
        <f t="shared" si="11"/>
        <v>1978048.13</v>
      </c>
      <c r="H78" s="48">
        <f t="shared" si="12"/>
        <v>17.837782093837301</v>
      </c>
      <c r="I78" s="25">
        <f>+I77+30738</f>
        <v>1678619.62</v>
      </c>
      <c r="J78" s="45"/>
    </row>
    <row r="79" spans="2:10" x14ac:dyDescent="0.35">
      <c r="B79" s="40">
        <v>21</v>
      </c>
      <c r="C79" s="38" t="s">
        <v>72</v>
      </c>
      <c r="D79" s="25">
        <v>23914</v>
      </c>
      <c r="E79" s="25">
        <v>0</v>
      </c>
      <c r="F79" s="47">
        <f t="shared" si="10"/>
        <v>23914</v>
      </c>
      <c r="G79" s="25">
        <f t="shared" si="11"/>
        <v>2001962.13</v>
      </c>
      <c r="H79" s="48">
        <f t="shared" si="12"/>
        <v>18.622272000539994</v>
      </c>
      <c r="I79" s="25">
        <f>+I78+9058.5</f>
        <v>1687678.12</v>
      </c>
      <c r="J79" s="45"/>
    </row>
    <row r="80" spans="2:10" x14ac:dyDescent="0.35">
      <c r="B80" s="40">
        <v>22</v>
      </c>
      <c r="C80" s="38" t="s">
        <v>73</v>
      </c>
      <c r="D80" s="25">
        <v>95779.5</v>
      </c>
      <c r="E80" s="25">
        <v>0</v>
      </c>
      <c r="F80" s="47">
        <f t="shared" si="10"/>
        <v>95779.5</v>
      </c>
      <c r="G80" s="25">
        <f t="shared" si="11"/>
        <v>2097741.63</v>
      </c>
      <c r="H80" s="48">
        <f t="shared" si="12"/>
        <v>24.274815127034323</v>
      </c>
      <c r="I80" s="25">
        <f>+I79+308</f>
        <v>1687986.12</v>
      </c>
      <c r="J80" s="45"/>
    </row>
    <row r="81" spans="2:10" x14ac:dyDescent="0.35">
      <c r="B81" s="40">
        <v>23</v>
      </c>
      <c r="C81" s="38" t="s">
        <v>80</v>
      </c>
      <c r="D81" s="25">
        <v>98592.5</v>
      </c>
      <c r="E81" s="25">
        <v>0</v>
      </c>
      <c r="F81" s="47">
        <f t="shared" si="10"/>
        <v>98592.5</v>
      </c>
      <c r="G81" s="25">
        <f t="shared" si="11"/>
        <v>2196334.13</v>
      </c>
      <c r="H81" s="48">
        <f t="shared" si="12"/>
        <v>30.115651069453094</v>
      </c>
      <c r="I81" s="25">
        <f>+I80+0</f>
        <v>1687986.12</v>
      </c>
      <c r="J81" s="45"/>
    </row>
    <row r="82" spans="2:10" x14ac:dyDescent="0.35">
      <c r="B82" s="40">
        <v>24</v>
      </c>
      <c r="C82" s="38" t="s">
        <v>75</v>
      </c>
      <c r="D82" s="25">
        <v>7170</v>
      </c>
      <c r="E82" s="25">
        <v>0</v>
      </c>
      <c r="F82" s="47">
        <f t="shared" si="10"/>
        <v>7170</v>
      </c>
      <c r="G82" s="25">
        <f t="shared" si="11"/>
        <v>2203504.13</v>
      </c>
      <c r="H82" s="48">
        <f t="shared" si="12"/>
        <v>47.230550757087656</v>
      </c>
      <c r="I82" s="25">
        <f>+I81-191351</f>
        <v>1496635.12</v>
      </c>
      <c r="J82" s="45"/>
    </row>
    <row r="83" spans="2:10" x14ac:dyDescent="0.35">
      <c r="B83" s="40">
        <v>25</v>
      </c>
      <c r="C83" s="77" t="s">
        <v>76</v>
      </c>
      <c r="D83" s="25">
        <v>26974.5</v>
      </c>
      <c r="E83" s="25">
        <v>0</v>
      </c>
      <c r="F83" s="47">
        <f t="shared" si="10"/>
        <v>26974.5</v>
      </c>
      <c r="G83" s="25">
        <f t="shared" si="11"/>
        <v>2230478.63</v>
      </c>
      <c r="H83" s="48">
        <f t="shared" si="12"/>
        <v>49.032893869281899</v>
      </c>
      <c r="I83" s="25">
        <f>+I82+0</f>
        <v>1496635.12</v>
      </c>
      <c r="J83" s="45"/>
    </row>
    <row r="84" spans="2:10" x14ac:dyDescent="0.35">
      <c r="B84" s="111">
        <v>26</v>
      </c>
      <c r="C84" s="112" t="s">
        <v>77</v>
      </c>
      <c r="D84" s="105">
        <v>383.9</v>
      </c>
      <c r="E84" s="106">
        <v>0</v>
      </c>
      <c r="F84" s="107">
        <f t="shared" si="10"/>
        <v>383.9</v>
      </c>
      <c r="G84" s="106">
        <f t="shared" si="11"/>
        <v>2230862.5299999998</v>
      </c>
      <c r="H84" s="48">
        <f t="shared" si="12"/>
        <v>49.058544744025497</v>
      </c>
      <c r="I84" s="25">
        <f>+I83+0</f>
        <v>1496635.12</v>
      </c>
      <c r="J84" s="45"/>
    </row>
    <row r="85" spans="2:10" x14ac:dyDescent="0.35">
      <c r="B85" s="111">
        <v>27</v>
      </c>
      <c r="C85" s="112" t="s">
        <v>81</v>
      </c>
      <c r="D85" s="119">
        <v>34845</v>
      </c>
      <c r="E85" s="120">
        <v>0</v>
      </c>
      <c r="F85" s="121">
        <f t="shared" si="10"/>
        <v>34845</v>
      </c>
      <c r="G85" s="120">
        <f t="shared" si="11"/>
        <v>2265707.5299999998</v>
      </c>
      <c r="H85" s="48">
        <f t="shared" si="12"/>
        <v>51.386767537567849</v>
      </c>
      <c r="I85" s="25">
        <f>+I84+0</f>
        <v>1496635.12</v>
      </c>
      <c r="J85" s="45"/>
    </row>
    <row r="86" spans="2:10" x14ac:dyDescent="0.35">
      <c r="B86" s="110">
        <v>28</v>
      </c>
      <c r="C86" s="77" t="s">
        <v>87</v>
      </c>
      <c r="D86" s="108">
        <v>39783.5</v>
      </c>
      <c r="E86" s="108">
        <v>1591</v>
      </c>
      <c r="F86" s="109">
        <f t="shared" si="10"/>
        <v>41374.5</v>
      </c>
      <c r="G86" s="109">
        <f t="shared" si="11"/>
        <v>2307082.0299999998</v>
      </c>
      <c r="H86" s="48">
        <f t="shared" si="12"/>
        <v>54.151269014721478</v>
      </c>
      <c r="I86" s="25">
        <f>+I85+0</f>
        <v>1496635.12</v>
      </c>
      <c r="J86" s="45"/>
    </row>
    <row r="87" spans="2:10" hidden="1" x14ac:dyDescent="0.35">
      <c r="B87" s="40">
        <v>29</v>
      </c>
      <c r="C87" s="17" t="s">
        <v>32</v>
      </c>
      <c r="D87" s="25"/>
      <c r="E87" s="25"/>
      <c r="F87" s="47">
        <f t="shared" ref="F87:F100" si="13">+E87+D87</f>
        <v>0</v>
      </c>
      <c r="G87" s="25">
        <f t="shared" ref="G87:G88" si="14">+G86+F87</f>
        <v>2307082.0299999998</v>
      </c>
      <c r="H87" s="48">
        <v>0</v>
      </c>
      <c r="I87" s="25">
        <v>0</v>
      </c>
      <c r="J87" s="45"/>
    </row>
    <row r="88" spans="2:10" hidden="1" x14ac:dyDescent="0.35">
      <c r="B88" s="40">
        <v>30</v>
      </c>
      <c r="C88" s="27" t="s">
        <v>33</v>
      </c>
      <c r="D88" s="31"/>
      <c r="E88" s="31"/>
      <c r="F88" s="55">
        <f t="shared" si="13"/>
        <v>0</v>
      </c>
      <c r="G88" s="31">
        <f t="shared" si="14"/>
        <v>2307082.0299999998</v>
      </c>
      <c r="H88" s="56">
        <v>0</v>
      </c>
      <c r="I88" s="31">
        <v>0</v>
      </c>
      <c r="J88" s="45"/>
    </row>
    <row r="89" spans="2:10" hidden="1" x14ac:dyDescent="0.35">
      <c r="B89" s="40">
        <v>31</v>
      </c>
      <c r="C89" s="16" t="s">
        <v>29</v>
      </c>
      <c r="D89" s="25"/>
      <c r="E89" s="25"/>
      <c r="F89" s="47">
        <f t="shared" si="13"/>
        <v>0</v>
      </c>
      <c r="G89" s="25">
        <f>+G81+F89</f>
        <v>2196334.13</v>
      </c>
      <c r="H89" s="48">
        <v>0</v>
      </c>
      <c r="I89" s="25">
        <v>0</v>
      </c>
      <c r="J89" s="45"/>
    </row>
    <row r="90" spans="2:10" hidden="1" x14ac:dyDescent="0.35">
      <c r="B90" s="40">
        <v>32</v>
      </c>
      <c r="C90" s="16" t="s">
        <v>27</v>
      </c>
      <c r="D90" s="25"/>
      <c r="E90" s="25"/>
      <c r="F90" s="47">
        <f t="shared" si="13"/>
        <v>0</v>
      </c>
      <c r="G90" s="25">
        <f t="shared" ref="G90:G95" si="15">+G89+F90</f>
        <v>2196334.13</v>
      </c>
      <c r="H90" s="48">
        <v>0</v>
      </c>
      <c r="I90" s="25">
        <v>0</v>
      </c>
      <c r="J90" s="45"/>
    </row>
    <row r="91" spans="2:10" hidden="1" x14ac:dyDescent="0.35">
      <c r="B91" s="40">
        <v>33</v>
      </c>
      <c r="C91" s="16" t="s">
        <v>28</v>
      </c>
      <c r="D91" s="25"/>
      <c r="E91" s="25"/>
      <c r="F91" s="47">
        <f t="shared" si="13"/>
        <v>0</v>
      </c>
      <c r="G91" s="25">
        <f t="shared" si="15"/>
        <v>2196334.13</v>
      </c>
      <c r="H91" s="48">
        <v>0</v>
      </c>
      <c r="I91" s="25">
        <v>0</v>
      </c>
      <c r="J91" s="45"/>
    </row>
    <row r="92" spans="2:10" hidden="1" x14ac:dyDescent="0.35">
      <c r="B92" s="40">
        <v>34</v>
      </c>
      <c r="C92" s="16" t="s">
        <v>29</v>
      </c>
      <c r="D92" s="25"/>
      <c r="E92" s="25"/>
      <c r="F92" s="47">
        <f t="shared" si="13"/>
        <v>0</v>
      </c>
      <c r="G92" s="25">
        <f t="shared" si="15"/>
        <v>2196334.13</v>
      </c>
      <c r="H92" s="48">
        <v>0</v>
      </c>
      <c r="I92" s="25">
        <v>0</v>
      </c>
      <c r="J92" s="45"/>
    </row>
    <row r="93" spans="2:10" hidden="1" x14ac:dyDescent="0.35">
      <c r="B93" s="40">
        <v>35</v>
      </c>
      <c r="C93" s="16" t="s">
        <v>30</v>
      </c>
      <c r="D93" s="25"/>
      <c r="E93" s="25"/>
      <c r="F93" s="47">
        <f t="shared" si="13"/>
        <v>0</v>
      </c>
      <c r="G93" s="25">
        <f t="shared" si="15"/>
        <v>2196334.13</v>
      </c>
      <c r="H93" s="48">
        <v>0</v>
      </c>
      <c r="I93" s="25">
        <v>0</v>
      </c>
      <c r="J93" s="45"/>
    </row>
    <row r="94" spans="2:10" hidden="1" x14ac:dyDescent="0.35">
      <c r="B94" s="40">
        <v>36</v>
      </c>
      <c r="C94" s="16" t="s">
        <v>31</v>
      </c>
      <c r="D94" s="25"/>
      <c r="E94" s="25"/>
      <c r="F94" s="47">
        <f t="shared" si="13"/>
        <v>0</v>
      </c>
      <c r="G94" s="25">
        <f t="shared" si="15"/>
        <v>2196334.13</v>
      </c>
      <c r="H94" s="48">
        <v>0</v>
      </c>
      <c r="I94" s="25">
        <v>0</v>
      </c>
      <c r="J94" s="45"/>
    </row>
    <row r="95" spans="2:10" hidden="1" x14ac:dyDescent="0.35">
      <c r="B95" s="40">
        <v>37</v>
      </c>
      <c r="C95" s="17" t="s">
        <v>32</v>
      </c>
      <c r="D95" s="25"/>
      <c r="E95" s="25"/>
      <c r="F95" s="47">
        <f t="shared" si="13"/>
        <v>0</v>
      </c>
      <c r="G95" s="25">
        <f t="shared" si="15"/>
        <v>2196334.13</v>
      </c>
      <c r="H95" s="48">
        <v>0</v>
      </c>
      <c r="I95" s="25">
        <v>0</v>
      </c>
      <c r="J95" s="45"/>
    </row>
    <row r="96" spans="2:10" hidden="1" x14ac:dyDescent="0.35">
      <c r="B96" s="40">
        <v>38</v>
      </c>
      <c r="C96" s="16" t="s">
        <v>29</v>
      </c>
      <c r="D96" s="25"/>
      <c r="E96" s="25"/>
      <c r="F96" s="47">
        <f t="shared" si="13"/>
        <v>0</v>
      </c>
      <c r="G96" s="25">
        <f>+G79+F96</f>
        <v>2001962.13</v>
      </c>
      <c r="H96" s="48">
        <v>0</v>
      </c>
      <c r="I96" s="25">
        <v>0</v>
      </c>
      <c r="J96" s="45"/>
    </row>
    <row r="97" spans="2:10" hidden="1" x14ac:dyDescent="0.35">
      <c r="B97" s="40">
        <v>39</v>
      </c>
      <c r="C97" s="16" t="s">
        <v>30</v>
      </c>
      <c r="D97" s="25"/>
      <c r="E97" s="25"/>
      <c r="F97" s="47">
        <f t="shared" si="13"/>
        <v>0</v>
      </c>
      <c r="G97" s="25">
        <f t="shared" ref="G97:G100" si="16">+G96+F97</f>
        <v>2001962.13</v>
      </c>
      <c r="H97" s="48">
        <v>0</v>
      </c>
      <c r="I97" s="25">
        <v>0</v>
      </c>
      <c r="J97" s="45"/>
    </row>
    <row r="98" spans="2:10" hidden="1" x14ac:dyDescent="0.35">
      <c r="B98" s="40">
        <v>40</v>
      </c>
      <c r="C98" s="16" t="s">
        <v>31</v>
      </c>
      <c r="D98" s="25"/>
      <c r="E98" s="25"/>
      <c r="F98" s="47">
        <f t="shared" si="13"/>
        <v>0</v>
      </c>
      <c r="G98" s="25">
        <f t="shared" si="16"/>
        <v>2001962.13</v>
      </c>
      <c r="H98" s="48">
        <v>0</v>
      </c>
      <c r="I98" s="25">
        <v>0</v>
      </c>
      <c r="J98" s="45"/>
    </row>
    <row r="99" spans="2:10" hidden="1" x14ac:dyDescent="0.35">
      <c r="B99" s="40">
        <v>41</v>
      </c>
      <c r="C99" s="17" t="s">
        <v>32</v>
      </c>
      <c r="D99" s="25"/>
      <c r="E99" s="25"/>
      <c r="F99" s="47">
        <f t="shared" si="13"/>
        <v>0</v>
      </c>
      <c r="G99" s="25">
        <f t="shared" si="16"/>
        <v>2001962.13</v>
      </c>
      <c r="H99" s="48">
        <v>0</v>
      </c>
      <c r="I99" s="25">
        <v>0</v>
      </c>
      <c r="J99" s="45"/>
    </row>
    <row r="100" spans="2:10" hidden="1" x14ac:dyDescent="0.35">
      <c r="B100" s="40">
        <v>42</v>
      </c>
      <c r="C100" s="27" t="s">
        <v>33</v>
      </c>
      <c r="D100" s="31"/>
      <c r="E100" s="31"/>
      <c r="F100" s="55">
        <f t="shared" si="13"/>
        <v>0</v>
      </c>
      <c r="G100" s="31">
        <f t="shared" si="16"/>
        <v>2001962.13</v>
      </c>
      <c r="H100" s="56">
        <v>0</v>
      </c>
      <c r="I100" s="31">
        <v>0</v>
      </c>
      <c r="J100" s="45"/>
    </row>
    <row r="101" spans="2:10" x14ac:dyDescent="0.35">
      <c r="B101" s="5"/>
      <c r="C101" s="5"/>
      <c r="D101" s="6"/>
      <c r="E101" s="6"/>
      <c r="F101" s="6"/>
      <c r="G101" s="6"/>
      <c r="H101" s="6"/>
      <c r="I101" s="6"/>
      <c r="J101" s="6"/>
    </row>
    <row r="102" spans="2:10" x14ac:dyDescent="0.35">
      <c r="B102" s="8" t="s">
        <v>34</v>
      </c>
      <c r="C102" s="5"/>
      <c r="D102" s="6"/>
      <c r="E102" s="6"/>
      <c r="F102" s="6"/>
      <c r="G102" s="6"/>
      <c r="H102" s="6"/>
      <c r="I102" s="6"/>
      <c r="J102" s="6"/>
    </row>
    <row r="103" spans="2:10" x14ac:dyDescent="0.35">
      <c r="B103" s="9" t="s">
        <v>35</v>
      </c>
      <c r="C103" s="5"/>
      <c r="D103" s="6"/>
      <c r="E103" s="6"/>
      <c r="F103" s="6"/>
      <c r="G103" s="6"/>
      <c r="H103" s="6"/>
      <c r="I103" s="6"/>
      <c r="J103" s="6"/>
    </row>
    <row r="104" spans="2:10" x14ac:dyDescent="0.35">
      <c r="B104" s="9" t="s">
        <v>36</v>
      </c>
      <c r="C104" s="5"/>
      <c r="D104" s="6"/>
      <c r="E104" s="6"/>
      <c r="F104" s="6"/>
      <c r="G104" s="6"/>
      <c r="H104" s="6"/>
      <c r="I104" s="6"/>
      <c r="J104" s="6"/>
    </row>
    <row r="105" spans="2:10" x14ac:dyDescent="0.35">
      <c r="B105" s="9" t="s">
        <v>37</v>
      </c>
      <c r="C105" s="5"/>
      <c r="D105" s="6"/>
      <c r="E105" s="6"/>
      <c r="F105" s="6"/>
      <c r="G105" s="6"/>
      <c r="H105" s="6"/>
      <c r="I105" s="6"/>
      <c r="J105" s="6"/>
    </row>
    <row r="106" spans="2:10" x14ac:dyDescent="0.35">
      <c r="B106" s="10"/>
      <c r="C106" s="10"/>
      <c r="D106" s="42"/>
      <c r="E106" s="42"/>
      <c r="F106" s="42"/>
      <c r="G106" s="42"/>
      <c r="H106" s="42"/>
      <c r="I106" s="42"/>
      <c r="J106" s="42"/>
    </row>
    <row r="107" spans="2:10" x14ac:dyDescent="0.35">
      <c r="B107" s="10"/>
      <c r="C107" s="10"/>
      <c r="D107" s="42"/>
      <c r="E107" s="42"/>
      <c r="F107" s="42"/>
      <c r="G107" s="42"/>
      <c r="H107" s="42"/>
      <c r="I107" s="42"/>
      <c r="J107" s="42"/>
    </row>
    <row r="108" spans="2:10" ht="18.5" x14ac:dyDescent="0.45">
      <c r="B108" s="10"/>
      <c r="C108" s="10"/>
      <c r="D108" s="148" t="s">
        <v>40</v>
      </c>
      <c r="E108" s="148"/>
      <c r="F108" s="148"/>
      <c r="G108" s="148"/>
      <c r="H108" s="148"/>
      <c r="I108" s="148"/>
      <c r="J108" s="42"/>
    </row>
    <row r="109" spans="2:10" s="35" customFormat="1" ht="18.5" x14ac:dyDescent="0.45">
      <c r="B109" s="26"/>
      <c r="C109" s="26"/>
      <c r="D109" s="184" t="s">
        <v>49</v>
      </c>
      <c r="E109" s="184"/>
      <c r="F109" s="184"/>
      <c r="G109" s="184"/>
      <c r="H109" s="184"/>
      <c r="I109" s="184"/>
      <c r="J109" s="52"/>
    </row>
    <row r="110" spans="2:10" ht="15.9" customHeight="1" x14ac:dyDescent="0.4">
      <c r="B110" s="128" t="s">
        <v>88</v>
      </c>
      <c r="C110" s="128"/>
      <c r="D110" s="128"/>
      <c r="E110" s="128"/>
      <c r="F110" s="128"/>
      <c r="G110" s="128"/>
      <c r="H110" s="128"/>
      <c r="I110" s="128"/>
      <c r="J110" s="128"/>
    </row>
    <row r="111" spans="2:10" ht="14.4" customHeight="1" x14ac:dyDescent="0.35">
      <c r="B111" s="14"/>
      <c r="C111" s="15"/>
      <c r="D111" s="142" t="s">
        <v>6</v>
      </c>
      <c r="E111" s="143"/>
      <c r="F111" s="143"/>
      <c r="G111" s="144"/>
      <c r="H111" s="129" t="s">
        <v>7</v>
      </c>
      <c r="I111" s="130"/>
      <c r="J111" s="53"/>
    </row>
    <row r="112" spans="2:10" x14ac:dyDescent="0.35">
      <c r="B112" s="12"/>
      <c r="C112" s="13"/>
      <c r="D112" s="145" t="s">
        <v>9</v>
      </c>
      <c r="E112" s="146"/>
      <c r="F112" s="146"/>
      <c r="G112" s="147"/>
      <c r="H112" s="131"/>
      <c r="I112" s="132"/>
      <c r="J112" s="53"/>
    </row>
    <row r="113" spans="2:10" ht="14.4" customHeight="1" x14ac:dyDescent="0.35">
      <c r="B113" s="133" t="s">
        <v>10</v>
      </c>
      <c r="C113" s="135" t="s">
        <v>11</v>
      </c>
      <c r="D113" s="51" t="s">
        <v>12</v>
      </c>
      <c r="E113" s="51" t="s">
        <v>13</v>
      </c>
      <c r="F113" s="51" t="s">
        <v>14</v>
      </c>
      <c r="G113" s="51" t="s">
        <v>15</v>
      </c>
      <c r="H113" s="124" t="s">
        <v>16</v>
      </c>
      <c r="I113" s="126" t="s">
        <v>17</v>
      </c>
      <c r="J113" s="54"/>
    </row>
    <row r="114" spans="2:10" ht="38.4" customHeight="1" x14ac:dyDescent="0.35">
      <c r="B114" s="134"/>
      <c r="C114" s="136"/>
      <c r="D114" s="154" t="s">
        <v>20</v>
      </c>
      <c r="E114" s="155"/>
      <c r="F114" s="155"/>
      <c r="G114" s="156"/>
      <c r="H114" s="125"/>
      <c r="I114" s="127"/>
      <c r="J114" s="54"/>
    </row>
    <row r="115" spans="2:10" x14ac:dyDescent="0.35">
      <c r="B115" s="40">
        <v>4</v>
      </c>
      <c r="C115" s="38" t="s">
        <v>21</v>
      </c>
      <c r="D115" s="20">
        <v>0</v>
      </c>
      <c r="E115" s="20">
        <v>0</v>
      </c>
      <c r="F115" s="43">
        <f>+D115+E115</f>
        <v>0</v>
      </c>
      <c r="G115" s="20">
        <f>+F115</f>
        <v>0</v>
      </c>
      <c r="H115" s="48" t="e">
        <f t="shared" ref="H115:H122" si="17">((G115-I115)/I115)*100</f>
        <v>#DIV/0!</v>
      </c>
      <c r="I115" s="20">
        <v>0</v>
      </c>
      <c r="J115" s="45"/>
    </row>
    <row r="116" spans="2:10" x14ac:dyDescent="0.35">
      <c r="B116" s="40">
        <v>5</v>
      </c>
      <c r="C116" s="38" t="s">
        <v>22</v>
      </c>
      <c r="D116" s="25">
        <v>9008.51</v>
      </c>
      <c r="E116" s="25">
        <v>0</v>
      </c>
      <c r="F116" s="47">
        <f>+E116+D116</f>
        <v>9008.51</v>
      </c>
      <c r="G116" s="25">
        <f>+G115+F116</f>
        <v>9008.51</v>
      </c>
      <c r="H116" s="48">
        <f t="shared" si="17"/>
        <v>-95.944662177927142</v>
      </c>
      <c r="I116" s="25">
        <v>222139.57</v>
      </c>
      <c r="J116" s="45"/>
    </row>
    <row r="117" spans="2:10" x14ac:dyDescent="0.35">
      <c r="B117" s="40">
        <v>6</v>
      </c>
      <c r="C117" s="38" t="s">
        <v>23</v>
      </c>
      <c r="D117" s="25">
        <v>4186.0200000000004</v>
      </c>
      <c r="E117" s="25">
        <v>0</v>
      </c>
      <c r="F117" s="47">
        <f>+E117+D117</f>
        <v>4186.0200000000004</v>
      </c>
      <c r="G117" s="25">
        <f>+G116+F117</f>
        <v>13194.53</v>
      </c>
      <c r="H117" s="48">
        <f t="shared" si="17"/>
        <v>-94.74250485394262</v>
      </c>
      <c r="I117" s="25">
        <f>+I116+28826.52</f>
        <v>250966.09</v>
      </c>
      <c r="J117" s="45"/>
    </row>
    <row r="118" spans="2:10" x14ac:dyDescent="0.35">
      <c r="B118" s="40">
        <v>7</v>
      </c>
      <c r="C118" s="38" t="s">
        <v>24</v>
      </c>
      <c r="D118" s="25">
        <v>2176.52</v>
      </c>
      <c r="E118" s="25">
        <v>2600</v>
      </c>
      <c r="F118" s="47">
        <f t="shared" ref="F118:F139" si="18">+E118+D118</f>
        <v>4776.5200000000004</v>
      </c>
      <c r="G118" s="25">
        <f>+G117+F118</f>
        <v>17971.050000000003</v>
      </c>
      <c r="H118" s="48">
        <f t="shared" si="17"/>
        <v>-94.113480936244471</v>
      </c>
      <c r="I118" s="25">
        <f>+I117+54325.54</f>
        <v>305291.63</v>
      </c>
      <c r="J118" s="45"/>
    </row>
    <row r="119" spans="2:10" x14ac:dyDescent="0.35">
      <c r="B119" s="40">
        <v>8</v>
      </c>
      <c r="C119" s="38" t="s">
        <v>25</v>
      </c>
      <c r="D119" s="25">
        <v>0</v>
      </c>
      <c r="E119" s="25">
        <v>0</v>
      </c>
      <c r="F119" s="47">
        <f t="shared" si="18"/>
        <v>0</v>
      </c>
      <c r="G119" s="25">
        <f t="shared" ref="G119:G139" si="19">+G118+F119</f>
        <v>17971.050000000003</v>
      </c>
      <c r="H119" s="48">
        <f t="shared" si="17"/>
        <v>-94.678447939946793</v>
      </c>
      <c r="I119" s="25">
        <v>337703.17</v>
      </c>
      <c r="J119" s="45"/>
    </row>
    <row r="120" spans="2:10" x14ac:dyDescent="0.35">
      <c r="B120" s="40">
        <v>9</v>
      </c>
      <c r="C120" s="38" t="s">
        <v>26</v>
      </c>
      <c r="D120" s="25">
        <v>0</v>
      </c>
      <c r="E120" s="25">
        <v>0</v>
      </c>
      <c r="F120" s="47">
        <f t="shared" si="18"/>
        <v>0</v>
      </c>
      <c r="G120" s="25">
        <f t="shared" si="19"/>
        <v>17971.050000000003</v>
      </c>
      <c r="H120" s="48">
        <f t="shared" si="17"/>
        <v>-95.346580760123857</v>
      </c>
      <c r="I120" s="25">
        <f>+I119+48487.05</f>
        <v>386190.22</v>
      </c>
      <c r="J120" s="45"/>
    </row>
    <row r="121" spans="2:10" x14ac:dyDescent="0.35">
      <c r="B121" s="40">
        <v>10</v>
      </c>
      <c r="C121" s="38" t="s">
        <v>62</v>
      </c>
      <c r="D121" s="25">
        <v>16095</v>
      </c>
      <c r="E121" s="25">
        <v>0</v>
      </c>
      <c r="F121" s="47">
        <f t="shared" si="18"/>
        <v>16095</v>
      </c>
      <c r="G121" s="25">
        <f t="shared" si="19"/>
        <v>34066.050000000003</v>
      </c>
      <c r="H121" s="48">
        <f t="shared" si="17"/>
        <v>-91.692418805560038</v>
      </c>
      <c r="I121" s="25">
        <f>+I120+23869.57</f>
        <v>410059.79</v>
      </c>
      <c r="J121" s="45"/>
    </row>
    <row r="122" spans="2:10" x14ac:dyDescent="0.35">
      <c r="B122" s="40">
        <v>11</v>
      </c>
      <c r="C122" s="38" t="s">
        <v>63</v>
      </c>
      <c r="D122" s="25">
        <v>2742</v>
      </c>
      <c r="E122" s="25">
        <v>0</v>
      </c>
      <c r="F122" s="47">
        <f t="shared" si="18"/>
        <v>2742</v>
      </c>
      <c r="G122" s="25">
        <f t="shared" si="19"/>
        <v>36808.050000000003</v>
      </c>
      <c r="H122" s="48">
        <f t="shared" si="17"/>
        <v>-91.7296582460271</v>
      </c>
      <c r="I122" s="25">
        <f>+I121+35001.02</f>
        <v>445060.81</v>
      </c>
      <c r="J122" s="45"/>
    </row>
    <row r="123" spans="2:10" x14ac:dyDescent="0.35">
      <c r="B123" s="40">
        <v>12</v>
      </c>
      <c r="C123" s="38" t="s">
        <v>78</v>
      </c>
      <c r="D123" s="25">
        <v>39631</v>
      </c>
      <c r="E123" s="25">
        <v>0</v>
      </c>
      <c r="F123" s="47">
        <f t="shared" si="18"/>
        <v>39631</v>
      </c>
      <c r="G123" s="25">
        <f>+G122+F123</f>
        <v>76439.05</v>
      </c>
      <c r="H123" s="48">
        <f>((G123-I123)/I123)*100</f>
        <v>-84.770818693028332</v>
      </c>
      <c r="I123" s="25">
        <f>+I122+56864.07</f>
        <v>501924.88</v>
      </c>
      <c r="J123" s="45"/>
    </row>
    <row r="124" spans="2:10" x14ac:dyDescent="0.35">
      <c r="B124" s="40">
        <v>13</v>
      </c>
      <c r="C124" s="38" t="s">
        <v>64</v>
      </c>
      <c r="D124" s="25">
        <v>24486.5</v>
      </c>
      <c r="E124" s="25">
        <v>0</v>
      </c>
      <c r="F124" s="47">
        <f t="shared" si="18"/>
        <v>24486.5</v>
      </c>
      <c r="G124" s="25">
        <f t="shared" si="19"/>
        <v>100925.55</v>
      </c>
      <c r="H124" s="48">
        <f>((G124-I124)/I124)*100</f>
        <v>-80.12959274126608</v>
      </c>
      <c r="I124" s="25">
        <v>507918.88</v>
      </c>
      <c r="J124" s="45"/>
    </row>
    <row r="125" spans="2:10" x14ac:dyDescent="0.35">
      <c r="B125" s="40">
        <v>14</v>
      </c>
      <c r="C125" s="58" t="s">
        <v>65</v>
      </c>
      <c r="D125" s="25">
        <v>4100</v>
      </c>
      <c r="E125" s="25">
        <v>0</v>
      </c>
      <c r="F125" s="47">
        <f t="shared" si="18"/>
        <v>4100</v>
      </c>
      <c r="G125" s="25">
        <f t="shared" si="19"/>
        <v>105025.55</v>
      </c>
      <c r="H125" s="48">
        <f>((G125-I125)/I125)*100</f>
        <v>-80.934825982661849</v>
      </c>
      <c r="I125" s="25">
        <f>+I124+42957.55</f>
        <v>550876.43000000005</v>
      </c>
      <c r="J125" s="45"/>
    </row>
    <row r="126" spans="2:10" x14ac:dyDescent="0.35">
      <c r="B126" s="40">
        <v>15</v>
      </c>
      <c r="C126" s="38" t="s">
        <v>66</v>
      </c>
      <c r="D126" s="25">
        <v>31320.5</v>
      </c>
      <c r="E126" s="25">
        <v>0</v>
      </c>
      <c r="F126" s="47">
        <f t="shared" si="18"/>
        <v>31320.5</v>
      </c>
      <c r="G126" s="25">
        <f t="shared" si="19"/>
        <v>136346.04999999999</v>
      </c>
      <c r="H126" s="48">
        <f>((G126-I126)/I126)*100</f>
        <v>-75.797809665834308</v>
      </c>
      <c r="I126" s="25">
        <f>+I125+12486.01</f>
        <v>563362.44000000006</v>
      </c>
      <c r="J126" s="45"/>
    </row>
    <row r="127" spans="2:10" x14ac:dyDescent="0.35">
      <c r="B127" s="40">
        <v>16</v>
      </c>
      <c r="C127" s="38" t="s">
        <v>67</v>
      </c>
      <c r="D127" s="25">
        <v>34675.5</v>
      </c>
      <c r="E127" s="25">
        <v>0</v>
      </c>
      <c r="F127" s="47">
        <f t="shared" si="18"/>
        <v>34675.5</v>
      </c>
      <c r="G127" s="25">
        <f t="shared" si="19"/>
        <v>171021.55</v>
      </c>
      <c r="H127" s="48">
        <f t="shared" ref="H127:H139" si="20">((G127-I127)/I127)*100</f>
        <v>-69.718368863611971</v>
      </c>
      <c r="I127" s="25">
        <v>564769.93999999994</v>
      </c>
      <c r="J127" s="45"/>
    </row>
    <row r="128" spans="2:10" x14ac:dyDescent="0.35">
      <c r="B128" s="40">
        <v>17</v>
      </c>
      <c r="C128" s="38" t="s">
        <v>68</v>
      </c>
      <c r="D128" s="25">
        <v>38286.5</v>
      </c>
      <c r="E128" s="25">
        <v>0</v>
      </c>
      <c r="F128" s="47">
        <f t="shared" si="18"/>
        <v>38286.5</v>
      </c>
      <c r="G128" s="25">
        <f t="shared" si="19"/>
        <v>209308.05</v>
      </c>
      <c r="H128" s="48">
        <f t="shared" si="20"/>
        <v>-64.410834503227605</v>
      </c>
      <c r="I128" s="25">
        <v>588122.94999999995</v>
      </c>
      <c r="J128" s="45"/>
    </row>
    <row r="129" spans="2:10" x14ac:dyDescent="0.35">
      <c r="B129" s="40">
        <v>18</v>
      </c>
      <c r="C129" s="38" t="s">
        <v>69</v>
      </c>
      <c r="D129" s="25">
        <v>26117</v>
      </c>
      <c r="E129" s="25">
        <v>0</v>
      </c>
      <c r="F129" s="47">
        <f t="shared" si="18"/>
        <v>26117</v>
      </c>
      <c r="G129" s="25">
        <f t="shared" si="19"/>
        <v>235425.05</v>
      </c>
      <c r="H129" s="48">
        <f t="shared" si="20"/>
        <v>-63.542749537495915</v>
      </c>
      <c r="I129" s="25">
        <f>+I128+57633.51</f>
        <v>645756.46</v>
      </c>
      <c r="J129" s="45"/>
    </row>
    <row r="130" spans="2:10" x14ac:dyDescent="0.35">
      <c r="B130" s="40">
        <v>19</v>
      </c>
      <c r="C130" s="38" t="s">
        <v>70</v>
      </c>
      <c r="D130" s="25">
        <v>28927</v>
      </c>
      <c r="E130" s="25">
        <v>0</v>
      </c>
      <c r="F130" s="47">
        <f t="shared" si="18"/>
        <v>28927</v>
      </c>
      <c r="G130" s="25">
        <f t="shared" si="19"/>
        <v>264352.05</v>
      </c>
      <c r="H130" s="48">
        <f t="shared" si="20"/>
        <v>-60.806828072193042</v>
      </c>
      <c r="I130" s="25">
        <f>+I129+28728.5</f>
        <v>674484.96</v>
      </c>
      <c r="J130" s="45"/>
    </row>
    <row r="131" spans="2:10" x14ac:dyDescent="0.35">
      <c r="B131" s="40">
        <v>20</v>
      </c>
      <c r="C131" s="38" t="s">
        <v>85</v>
      </c>
      <c r="D131" s="25">
        <v>7051.5</v>
      </c>
      <c r="E131" s="25">
        <v>0</v>
      </c>
      <c r="F131" s="47">
        <f t="shared" si="18"/>
        <v>7051.5</v>
      </c>
      <c r="G131" s="25">
        <f t="shared" si="19"/>
        <v>271403.55</v>
      </c>
      <c r="H131" s="48">
        <f t="shared" si="20"/>
        <v>-62.135459862173207</v>
      </c>
      <c r="I131" s="25">
        <f>+I130+42290.02</f>
        <v>716774.98</v>
      </c>
      <c r="J131" s="45"/>
    </row>
    <row r="132" spans="2:10" x14ac:dyDescent="0.35">
      <c r="B132" s="40">
        <v>21</v>
      </c>
      <c r="C132" s="38" t="s">
        <v>72</v>
      </c>
      <c r="D132" s="25">
        <v>0</v>
      </c>
      <c r="E132" s="25">
        <v>0</v>
      </c>
      <c r="F132" s="47">
        <f t="shared" si="18"/>
        <v>0</v>
      </c>
      <c r="G132" s="25">
        <f t="shared" si="19"/>
        <v>271403.55</v>
      </c>
      <c r="H132" s="48">
        <f t="shared" si="20"/>
        <v>-62.317883840023434</v>
      </c>
      <c r="I132" s="25">
        <f>+I131+3470</f>
        <v>720244.98</v>
      </c>
      <c r="J132" s="45"/>
    </row>
    <row r="133" spans="2:10" x14ac:dyDescent="0.35">
      <c r="B133" s="40">
        <v>22</v>
      </c>
      <c r="C133" s="38" t="s">
        <v>73</v>
      </c>
      <c r="D133" s="25">
        <v>0</v>
      </c>
      <c r="E133" s="25">
        <v>0</v>
      </c>
      <c r="F133" s="47">
        <f t="shared" si="18"/>
        <v>0</v>
      </c>
      <c r="G133" s="25">
        <f t="shared" si="19"/>
        <v>271403.55</v>
      </c>
      <c r="H133" s="48">
        <f t="shared" si="20"/>
        <v>-62.317883840023434</v>
      </c>
      <c r="I133" s="25">
        <f t="shared" ref="I133:I137" si="21">+I132+0</f>
        <v>720244.98</v>
      </c>
      <c r="J133" s="45"/>
    </row>
    <row r="134" spans="2:10" x14ac:dyDescent="0.35">
      <c r="B134" s="40">
        <v>23</v>
      </c>
      <c r="C134" s="38" t="s">
        <v>80</v>
      </c>
      <c r="D134" s="25">
        <v>23292.5</v>
      </c>
      <c r="E134" s="25">
        <v>0</v>
      </c>
      <c r="F134" s="47">
        <f t="shared" si="18"/>
        <v>23292.5</v>
      </c>
      <c r="G134" s="25">
        <f t="shared" si="19"/>
        <v>294696.05</v>
      </c>
      <c r="H134" s="48">
        <f t="shared" si="20"/>
        <v>-59.083914753560663</v>
      </c>
      <c r="I134" s="25">
        <f t="shared" si="21"/>
        <v>720244.98</v>
      </c>
      <c r="J134" s="45"/>
    </row>
    <row r="135" spans="2:10" x14ac:dyDescent="0.35">
      <c r="B135" s="40">
        <v>24</v>
      </c>
      <c r="C135" s="38" t="s">
        <v>75</v>
      </c>
      <c r="D135" s="25">
        <v>0</v>
      </c>
      <c r="E135" s="25">
        <v>0</v>
      </c>
      <c r="F135" s="47">
        <f t="shared" si="18"/>
        <v>0</v>
      </c>
      <c r="G135" s="25">
        <f t="shared" si="19"/>
        <v>294696.05</v>
      </c>
      <c r="H135" s="48">
        <f t="shared" si="20"/>
        <v>-59.083914753560663</v>
      </c>
      <c r="I135" s="25">
        <f t="shared" si="21"/>
        <v>720244.98</v>
      </c>
      <c r="J135" s="45"/>
    </row>
    <row r="136" spans="2:10" x14ac:dyDescent="0.35">
      <c r="B136" s="40">
        <v>25</v>
      </c>
      <c r="C136" s="77" t="s">
        <v>76</v>
      </c>
      <c r="D136" s="25">
        <v>0</v>
      </c>
      <c r="E136" s="25">
        <v>0</v>
      </c>
      <c r="F136" s="47">
        <f t="shared" si="18"/>
        <v>0</v>
      </c>
      <c r="G136" s="25">
        <f t="shared" si="19"/>
        <v>294696.05</v>
      </c>
      <c r="H136" s="48">
        <f t="shared" si="20"/>
        <v>-59.083914753560663</v>
      </c>
      <c r="I136" s="25">
        <f t="shared" si="21"/>
        <v>720244.98</v>
      </c>
      <c r="J136" s="45"/>
    </row>
    <row r="137" spans="2:10" x14ac:dyDescent="0.35">
      <c r="B137" s="111">
        <v>26</v>
      </c>
      <c r="C137" s="112" t="s">
        <v>77</v>
      </c>
      <c r="D137" s="105">
        <v>0</v>
      </c>
      <c r="E137" s="106">
        <v>0</v>
      </c>
      <c r="F137" s="107">
        <f t="shared" si="18"/>
        <v>0</v>
      </c>
      <c r="G137" s="106">
        <f t="shared" si="19"/>
        <v>294696.05</v>
      </c>
      <c r="H137" s="48">
        <f t="shared" si="20"/>
        <v>-59.083914753560663</v>
      </c>
      <c r="I137" s="25">
        <f t="shared" si="21"/>
        <v>720244.98</v>
      </c>
      <c r="J137" s="45"/>
    </row>
    <row r="138" spans="2:10" x14ac:dyDescent="0.35">
      <c r="B138" s="111">
        <v>27</v>
      </c>
      <c r="C138" s="77" t="s">
        <v>81</v>
      </c>
      <c r="D138" s="119">
        <v>0</v>
      </c>
      <c r="E138" s="120">
        <v>0</v>
      </c>
      <c r="F138" s="121">
        <f t="shared" si="18"/>
        <v>0</v>
      </c>
      <c r="G138" s="120">
        <f t="shared" si="19"/>
        <v>294696.05</v>
      </c>
      <c r="H138" s="48">
        <f t="shared" si="20"/>
        <v>-59.083914753560663</v>
      </c>
      <c r="I138" s="25">
        <f>+I137+0</f>
        <v>720244.98</v>
      </c>
      <c r="J138" s="45"/>
    </row>
    <row r="139" spans="2:10" x14ac:dyDescent="0.35">
      <c r="B139" s="110">
        <v>28</v>
      </c>
      <c r="C139" s="77" t="s">
        <v>87</v>
      </c>
      <c r="D139" s="108">
        <v>0</v>
      </c>
      <c r="E139" s="108">
        <v>14958</v>
      </c>
      <c r="F139" s="109">
        <f t="shared" si="18"/>
        <v>14958</v>
      </c>
      <c r="G139" s="109">
        <f t="shared" si="19"/>
        <v>309654.05</v>
      </c>
      <c r="H139" s="48">
        <f t="shared" si="20"/>
        <v>-57.007121382505154</v>
      </c>
      <c r="I139" s="25">
        <f>+I138+0</f>
        <v>720244.98</v>
      </c>
      <c r="J139" s="45"/>
    </row>
    <row r="140" spans="2:10" hidden="1" x14ac:dyDescent="0.35">
      <c r="B140" s="40">
        <v>29</v>
      </c>
      <c r="C140" s="16" t="s">
        <v>27</v>
      </c>
      <c r="D140" s="25"/>
      <c r="E140" s="25"/>
      <c r="F140" s="47">
        <f t="shared" ref="F140:F146" si="22">+E140+D140</f>
        <v>0</v>
      </c>
      <c r="G140" s="25">
        <f t="shared" ref="G140:G146" si="23">+G139+F140</f>
        <v>309654.05</v>
      </c>
      <c r="H140" s="48">
        <v>0</v>
      </c>
      <c r="I140" s="25">
        <v>0</v>
      </c>
      <c r="J140" s="45"/>
    </row>
    <row r="141" spans="2:10" hidden="1" x14ac:dyDescent="0.35">
      <c r="B141" s="40">
        <v>30</v>
      </c>
      <c r="C141" s="16" t="s">
        <v>28</v>
      </c>
      <c r="D141" s="25"/>
      <c r="E141" s="25"/>
      <c r="F141" s="47">
        <f t="shared" si="22"/>
        <v>0</v>
      </c>
      <c r="G141" s="25">
        <f t="shared" si="23"/>
        <v>309654.05</v>
      </c>
      <c r="H141" s="48">
        <v>0</v>
      </c>
      <c r="I141" s="25">
        <v>0</v>
      </c>
      <c r="J141" s="45"/>
    </row>
    <row r="142" spans="2:10" hidden="1" x14ac:dyDescent="0.35">
      <c r="B142" s="40">
        <v>31</v>
      </c>
      <c r="C142" s="16" t="s">
        <v>29</v>
      </c>
      <c r="D142" s="25"/>
      <c r="E142" s="25"/>
      <c r="F142" s="47">
        <f t="shared" si="22"/>
        <v>0</v>
      </c>
      <c r="G142" s="25">
        <f t="shared" si="23"/>
        <v>309654.05</v>
      </c>
      <c r="H142" s="48">
        <v>0</v>
      </c>
      <c r="I142" s="25">
        <v>0</v>
      </c>
      <c r="J142" s="45"/>
    </row>
    <row r="143" spans="2:10" hidden="1" x14ac:dyDescent="0.35">
      <c r="B143" s="40">
        <v>32</v>
      </c>
      <c r="C143" s="16" t="s">
        <v>30</v>
      </c>
      <c r="D143" s="25"/>
      <c r="E143" s="25"/>
      <c r="F143" s="47">
        <f t="shared" si="22"/>
        <v>0</v>
      </c>
      <c r="G143" s="25">
        <f t="shared" si="23"/>
        <v>309654.05</v>
      </c>
      <c r="H143" s="48">
        <v>0</v>
      </c>
      <c r="I143" s="25">
        <v>0</v>
      </c>
      <c r="J143" s="45"/>
    </row>
    <row r="144" spans="2:10" hidden="1" x14ac:dyDescent="0.35">
      <c r="B144" s="40">
        <v>33</v>
      </c>
      <c r="C144" s="16" t="s">
        <v>31</v>
      </c>
      <c r="D144" s="25"/>
      <c r="E144" s="25"/>
      <c r="F144" s="47">
        <f t="shared" si="22"/>
        <v>0</v>
      </c>
      <c r="G144" s="25">
        <f t="shared" si="23"/>
        <v>309654.05</v>
      </c>
      <c r="H144" s="48">
        <v>0</v>
      </c>
      <c r="I144" s="25">
        <v>0</v>
      </c>
      <c r="J144" s="45"/>
    </row>
    <row r="145" spans="2:10" hidden="1" x14ac:dyDescent="0.35">
      <c r="B145" s="40">
        <v>34</v>
      </c>
      <c r="C145" s="17" t="s">
        <v>32</v>
      </c>
      <c r="D145" s="25"/>
      <c r="E145" s="25"/>
      <c r="F145" s="47">
        <f t="shared" si="22"/>
        <v>0</v>
      </c>
      <c r="G145" s="25">
        <f t="shared" si="23"/>
        <v>309654.05</v>
      </c>
      <c r="H145" s="48">
        <v>0</v>
      </c>
      <c r="I145" s="25">
        <v>0</v>
      </c>
      <c r="J145" s="45"/>
    </row>
    <row r="146" spans="2:10" hidden="1" x14ac:dyDescent="0.35">
      <c r="B146" s="40">
        <v>35</v>
      </c>
      <c r="C146" s="27" t="s">
        <v>33</v>
      </c>
      <c r="D146" s="31"/>
      <c r="E146" s="31"/>
      <c r="F146" s="55">
        <f t="shared" si="22"/>
        <v>0</v>
      </c>
      <c r="G146" s="31">
        <f t="shared" si="23"/>
        <v>309654.05</v>
      </c>
      <c r="H146" s="56">
        <v>0</v>
      </c>
      <c r="I146" s="31">
        <v>0</v>
      </c>
      <c r="J146" s="45"/>
    </row>
    <row r="147" spans="2:10" hidden="1" x14ac:dyDescent="0.35">
      <c r="B147" s="40">
        <v>36</v>
      </c>
      <c r="C147" s="16" t="s">
        <v>29</v>
      </c>
      <c r="D147" s="25"/>
      <c r="E147" s="25"/>
      <c r="F147" s="47">
        <f t="shared" ref="F147:F153" si="24">+E147+D147</f>
        <v>0</v>
      </c>
      <c r="G147" s="25">
        <f>+G139+F147</f>
        <v>309654.05</v>
      </c>
      <c r="H147" s="48">
        <v>0</v>
      </c>
      <c r="I147" s="25">
        <v>0</v>
      </c>
      <c r="J147" s="45"/>
    </row>
    <row r="148" spans="2:10" hidden="1" x14ac:dyDescent="0.35">
      <c r="B148" s="40">
        <v>37</v>
      </c>
      <c r="C148" s="16" t="s">
        <v>27</v>
      </c>
      <c r="D148" s="25"/>
      <c r="E148" s="25"/>
      <c r="F148" s="47">
        <f t="shared" si="24"/>
        <v>0</v>
      </c>
      <c r="G148" s="25">
        <f t="shared" ref="G148:G153" si="25">+G147+F148</f>
        <v>309654.05</v>
      </c>
      <c r="H148" s="48">
        <v>0</v>
      </c>
      <c r="I148" s="25">
        <v>0</v>
      </c>
      <c r="J148" s="45"/>
    </row>
    <row r="149" spans="2:10" hidden="1" x14ac:dyDescent="0.35">
      <c r="B149" s="40">
        <v>38</v>
      </c>
      <c r="C149" s="16" t="s">
        <v>28</v>
      </c>
      <c r="D149" s="25"/>
      <c r="E149" s="25"/>
      <c r="F149" s="47">
        <f t="shared" si="24"/>
        <v>0</v>
      </c>
      <c r="G149" s="25">
        <f t="shared" si="25"/>
        <v>309654.05</v>
      </c>
      <c r="H149" s="48">
        <v>0</v>
      </c>
      <c r="I149" s="25">
        <v>0</v>
      </c>
      <c r="J149" s="45"/>
    </row>
    <row r="150" spans="2:10" hidden="1" x14ac:dyDescent="0.35">
      <c r="B150" s="40">
        <v>39</v>
      </c>
      <c r="C150" s="16" t="s">
        <v>29</v>
      </c>
      <c r="D150" s="25"/>
      <c r="E150" s="25"/>
      <c r="F150" s="47">
        <f t="shared" si="24"/>
        <v>0</v>
      </c>
      <c r="G150" s="25">
        <f t="shared" si="25"/>
        <v>309654.05</v>
      </c>
      <c r="H150" s="48">
        <v>0</v>
      </c>
      <c r="I150" s="25">
        <v>0</v>
      </c>
      <c r="J150" s="45"/>
    </row>
    <row r="151" spans="2:10" hidden="1" x14ac:dyDescent="0.35">
      <c r="B151" s="40">
        <v>40</v>
      </c>
      <c r="C151" s="16" t="s">
        <v>30</v>
      </c>
      <c r="D151" s="25"/>
      <c r="E151" s="25"/>
      <c r="F151" s="47">
        <f t="shared" si="24"/>
        <v>0</v>
      </c>
      <c r="G151" s="25">
        <f t="shared" si="25"/>
        <v>309654.05</v>
      </c>
      <c r="H151" s="48">
        <v>0</v>
      </c>
      <c r="I151" s="25">
        <v>0</v>
      </c>
      <c r="J151" s="45"/>
    </row>
    <row r="152" spans="2:10" hidden="1" x14ac:dyDescent="0.35">
      <c r="B152" s="40">
        <v>41</v>
      </c>
      <c r="C152" s="16" t="s">
        <v>31</v>
      </c>
      <c r="D152" s="25"/>
      <c r="E152" s="25"/>
      <c r="F152" s="47">
        <f t="shared" si="24"/>
        <v>0</v>
      </c>
      <c r="G152" s="25">
        <f t="shared" si="25"/>
        <v>309654.05</v>
      </c>
      <c r="H152" s="48">
        <v>0</v>
      </c>
      <c r="I152" s="25">
        <v>0</v>
      </c>
      <c r="J152" s="45"/>
    </row>
    <row r="153" spans="2:10" hidden="1" x14ac:dyDescent="0.35">
      <c r="B153" s="40">
        <v>42</v>
      </c>
      <c r="C153" s="17" t="s">
        <v>32</v>
      </c>
      <c r="D153" s="25"/>
      <c r="E153" s="25"/>
      <c r="F153" s="47">
        <f t="shared" si="24"/>
        <v>0</v>
      </c>
      <c r="G153" s="25">
        <f t="shared" si="25"/>
        <v>309654.05</v>
      </c>
      <c r="H153" s="48">
        <v>0</v>
      </c>
      <c r="I153" s="25">
        <v>0</v>
      </c>
      <c r="J153" s="45"/>
    </row>
    <row r="154" spans="2:10" x14ac:dyDescent="0.35">
      <c r="B154" s="5"/>
      <c r="C154" s="5"/>
      <c r="D154" s="6"/>
      <c r="E154" s="6"/>
      <c r="F154" s="6"/>
      <c r="G154" s="6"/>
      <c r="H154" s="6"/>
      <c r="I154" s="6"/>
      <c r="J154" s="6"/>
    </row>
    <row r="155" spans="2:10" x14ac:dyDescent="0.35">
      <c r="B155" s="8" t="s">
        <v>34</v>
      </c>
      <c r="C155" s="5"/>
      <c r="D155" s="6"/>
      <c r="E155" s="6"/>
      <c r="F155" s="6"/>
      <c r="G155" s="6"/>
      <c r="H155" s="6"/>
      <c r="I155" s="6"/>
      <c r="J155" s="6"/>
    </row>
    <row r="156" spans="2:10" x14ac:dyDescent="0.35">
      <c r="B156" s="9" t="s">
        <v>35</v>
      </c>
      <c r="C156" s="5"/>
      <c r="D156" s="6"/>
      <c r="E156" s="6"/>
      <c r="F156" s="6"/>
      <c r="G156" s="6"/>
      <c r="H156" s="6"/>
      <c r="I156" s="6"/>
      <c r="J156" s="6"/>
    </row>
    <row r="157" spans="2:10" x14ac:dyDescent="0.35">
      <c r="B157" s="9" t="s">
        <v>36</v>
      </c>
      <c r="C157" s="5"/>
      <c r="D157" s="6"/>
      <c r="E157" s="6"/>
      <c r="F157" s="6"/>
      <c r="G157" s="6"/>
      <c r="H157" s="6"/>
      <c r="I157" s="6"/>
      <c r="J157" s="6"/>
    </row>
    <row r="158" spans="2:10" x14ac:dyDescent="0.35">
      <c r="B158" s="9" t="s">
        <v>37</v>
      </c>
      <c r="C158" s="5"/>
      <c r="D158" s="6"/>
      <c r="E158" s="6"/>
      <c r="F158" s="6"/>
      <c r="G158" s="6"/>
      <c r="H158" s="6"/>
      <c r="I158" s="6"/>
      <c r="J158" s="6"/>
    </row>
    <row r="161" spans="2:10" ht="18.5" x14ac:dyDescent="0.45">
      <c r="B161" s="10"/>
      <c r="C161" s="10"/>
      <c r="D161" s="140" t="s">
        <v>41</v>
      </c>
      <c r="E161" s="140"/>
      <c r="F161" s="140"/>
      <c r="G161" s="140"/>
      <c r="H161" s="140"/>
      <c r="I161" s="140"/>
      <c r="J161" s="42"/>
    </row>
    <row r="162" spans="2:10" s="35" customFormat="1" ht="18.5" x14ac:dyDescent="0.45">
      <c r="B162" s="26"/>
      <c r="C162" s="26"/>
      <c r="D162" s="183" t="s">
        <v>49</v>
      </c>
      <c r="E162" s="183"/>
      <c r="F162" s="183"/>
      <c r="G162" s="183"/>
      <c r="H162" s="183"/>
      <c r="I162" s="183"/>
      <c r="J162" s="52"/>
    </row>
    <row r="163" spans="2:10" ht="15.9" customHeight="1" x14ac:dyDescent="0.4">
      <c r="B163" s="128" t="s">
        <v>88</v>
      </c>
      <c r="C163" s="128"/>
      <c r="D163" s="128"/>
      <c r="E163" s="128"/>
      <c r="F163" s="128"/>
      <c r="G163" s="128"/>
      <c r="H163" s="128"/>
      <c r="I163" s="128"/>
      <c r="J163" s="128"/>
    </row>
    <row r="164" spans="2:10" ht="14.4" customHeight="1" x14ac:dyDescent="0.35">
      <c r="B164" s="14"/>
      <c r="C164" s="15"/>
      <c r="D164" s="142" t="s">
        <v>6</v>
      </c>
      <c r="E164" s="143"/>
      <c r="F164" s="143"/>
      <c r="G164" s="144"/>
      <c r="H164" s="129" t="s">
        <v>7</v>
      </c>
      <c r="I164" s="130"/>
      <c r="J164" s="53"/>
    </row>
    <row r="165" spans="2:10" x14ac:dyDescent="0.35">
      <c r="B165" s="12"/>
      <c r="C165" s="13"/>
      <c r="D165" s="145" t="s">
        <v>9</v>
      </c>
      <c r="E165" s="146"/>
      <c r="F165" s="146"/>
      <c r="G165" s="147"/>
      <c r="H165" s="131"/>
      <c r="I165" s="132"/>
      <c r="J165" s="53"/>
    </row>
    <row r="166" spans="2:10" ht="14.4" customHeight="1" x14ac:dyDescent="0.35">
      <c r="B166" s="133" t="s">
        <v>10</v>
      </c>
      <c r="C166" s="135" t="s">
        <v>11</v>
      </c>
      <c r="D166" s="51" t="s">
        <v>12</v>
      </c>
      <c r="E166" s="51" t="s">
        <v>13</v>
      </c>
      <c r="F166" s="51" t="s">
        <v>14</v>
      </c>
      <c r="G166" s="51" t="s">
        <v>15</v>
      </c>
      <c r="H166" s="124" t="s">
        <v>16</v>
      </c>
      <c r="I166" s="126" t="s">
        <v>17</v>
      </c>
      <c r="J166" s="54"/>
    </row>
    <row r="167" spans="2:10" ht="38.4" customHeight="1" x14ac:dyDescent="0.35">
      <c r="B167" s="134"/>
      <c r="C167" s="136"/>
      <c r="D167" s="154" t="s">
        <v>20</v>
      </c>
      <c r="E167" s="155"/>
      <c r="F167" s="155"/>
      <c r="G167" s="156"/>
      <c r="H167" s="125"/>
      <c r="I167" s="127"/>
      <c r="J167" s="54"/>
    </row>
    <row r="168" spans="2:10" x14ac:dyDescent="0.35">
      <c r="B168" s="40">
        <v>4</v>
      </c>
      <c r="C168" s="38" t="s">
        <v>21</v>
      </c>
      <c r="D168" s="20">
        <v>2488.5</v>
      </c>
      <c r="E168" s="20">
        <v>0</v>
      </c>
      <c r="F168" s="43">
        <f>+D168+E168</f>
        <v>2488.5</v>
      </c>
      <c r="G168" s="20">
        <f>+F168</f>
        <v>2488.5</v>
      </c>
      <c r="H168" s="44" t="e">
        <f t="shared" ref="H168:H175" si="26">((G168-I168)/I168)*100</f>
        <v>#DIV/0!</v>
      </c>
      <c r="I168" s="20">
        <v>0</v>
      </c>
      <c r="J168" s="45"/>
    </row>
    <row r="169" spans="2:10" x14ac:dyDescent="0.35">
      <c r="B169" s="40">
        <v>5</v>
      </c>
      <c r="C169" s="38" t="s">
        <v>22</v>
      </c>
      <c r="D169" s="25">
        <v>12507.02</v>
      </c>
      <c r="E169" s="25">
        <v>0</v>
      </c>
      <c r="F169" s="47">
        <f>+E169+D169</f>
        <v>12507.02</v>
      </c>
      <c r="G169" s="25">
        <f>+G168+F169</f>
        <v>14995.52</v>
      </c>
      <c r="H169" s="48">
        <f t="shared" si="26"/>
        <v>-82.309435757224264</v>
      </c>
      <c r="I169" s="25">
        <v>84765.64</v>
      </c>
      <c r="J169" s="45"/>
    </row>
    <row r="170" spans="2:10" x14ac:dyDescent="0.35">
      <c r="B170" s="40">
        <v>6</v>
      </c>
      <c r="C170" s="38" t="s">
        <v>23</v>
      </c>
      <c r="D170" s="25">
        <v>5122.5200000000004</v>
      </c>
      <c r="E170" s="25">
        <v>0</v>
      </c>
      <c r="F170" s="47">
        <f>+E170+D170</f>
        <v>5122.5200000000004</v>
      </c>
      <c r="G170" s="25">
        <f t="shared" ref="G170" si="27">+G169+F170</f>
        <v>20118.04</v>
      </c>
      <c r="H170" s="48">
        <f t="shared" si="26"/>
        <v>-86.890860866945175</v>
      </c>
      <c r="I170" s="25">
        <f>+I169+68700.12</f>
        <v>153465.76</v>
      </c>
      <c r="J170" s="45"/>
    </row>
    <row r="171" spans="2:10" x14ac:dyDescent="0.35">
      <c r="B171" s="40">
        <v>7</v>
      </c>
      <c r="C171" s="38" t="s">
        <v>24</v>
      </c>
      <c r="D171" s="25">
        <v>388.5</v>
      </c>
      <c r="E171" s="25">
        <v>0</v>
      </c>
      <c r="F171" s="47">
        <f t="shared" ref="F171:F192" si="28">+E171+D171</f>
        <v>388.5</v>
      </c>
      <c r="G171" s="25">
        <f>+G170+F171</f>
        <v>20506.54</v>
      </c>
      <c r="H171" s="48">
        <f t="shared" si="26"/>
        <v>-88.933137424190534</v>
      </c>
      <c r="I171" s="25">
        <f>+I170+31831.02</f>
        <v>185296.78</v>
      </c>
      <c r="J171" s="45"/>
    </row>
    <row r="172" spans="2:10" x14ac:dyDescent="0.35">
      <c r="B172" s="40">
        <v>8</v>
      </c>
      <c r="C172" s="38" t="s">
        <v>25</v>
      </c>
      <c r="D172" s="25">
        <v>8772.5499999999993</v>
      </c>
      <c r="E172" s="25">
        <v>0</v>
      </c>
      <c r="F172" s="47">
        <f t="shared" si="28"/>
        <v>8772.5499999999993</v>
      </c>
      <c r="G172" s="25">
        <f t="shared" ref="G172:G192" si="29">+G171+F172</f>
        <v>29279.09</v>
      </c>
      <c r="H172" s="48">
        <f t="shared" si="26"/>
        <v>-87.67646914480035</v>
      </c>
      <c r="I172" s="25">
        <v>237586.86</v>
      </c>
      <c r="J172" s="45"/>
    </row>
    <row r="173" spans="2:10" x14ac:dyDescent="0.35">
      <c r="B173" s="40">
        <v>9</v>
      </c>
      <c r="C173" s="38" t="s">
        <v>26</v>
      </c>
      <c r="D173" s="25">
        <v>1539.51</v>
      </c>
      <c r="E173" s="25">
        <v>0</v>
      </c>
      <c r="F173" s="47">
        <f t="shared" si="28"/>
        <v>1539.51</v>
      </c>
      <c r="G173" s="25">
        <f t="shared" si="29"/>
        <v>30818.6</v>
      </c>
      <c r="H173" s="48">
        <f t="shared" si="26"/>
        <v>-89.035918142331212</v>
      </c>
      <c r="I173" s="25">
        <f>+I172+43500.06</f>
        <v>281086.92</v>
      </c>
      <c r="J173" s="45"/>
    </row>
    <row r="174" spans="2:10" x14ac:dyDescent="0.35">
      <c r="B174" s="40">
        <v>10</v>
      </c>
      <c r="C174" s="38" t="s">
        <v>62</v>
      </c>
      <c r="D174" s="25">
        <v>4372.5</v>
      </c>
      <c r="E174" s="25">
        <v>0</v>
      </c>
      <c r="F174" s="47">
        <f t="shared" si="28"/>
        <v>4372.5</v>
      </c>
      <c r="G174" s="25">
        <f t="shared" si="29"/>
        <v>35191.1</v>
      </c>
      <c r="H174" s="48">
        <f t="shared" si="26"/>
        <v>-88.298242959122589</v>
      </c>
      <c r="I174" s="25">
        <f>+I173+19646.55</f>
        <v>300733.46999999997</v>
      </c>
      <c r="J174" s="45"/>
    </row>
    <row r="175" spans="2:10" x14ac:dyDescent="0.35">
      <c r="B175" s="40">
        <v>11</v>
      </c>
      <c r="C175" s="38" t="s">
        <v>63</v>
      </c>
      <c r="D175" s="25">
        <v>2333.0100000000002</v>
      </c>
      <c r="E175" s="25">
        <v>0</v>
      </c>
      <c r="F175" s="47">
        <f t="shared" si="28"/>
        <v>2333.0100000000002</v>
      </c>
      <c r="G175" s="25">
        <f t="shared" si="29"/>
        <v>37524.11</v>
      </c>
      <c r="H175" s="48">
        <f t="shared" si="26"/>
        <v>-88.530226008965926</v>
      </c>
      <c r="I175" s="25">
        <f>+I174+26423.02</f>
        <v>327156.49</v>
      </c>
      <c r="J175" s="45"/>
    </row>
    <row r="176" spans="2:10" x14ac:dyDescent="0.35">
      <c r="B176" s="40">
        <v>12</v>
      </c>
      <c r="C176" s="38" t="s">
        <v>78</v>
      </c>
      <c r="D176" s="25">
        <v>0</v>
      </c>
      <c r="E176" s="25">
        <v>0</v>
      </c>
      <c r="F176" s="47">
        <f t="shared" si="28"/>
        <v>0</v>
      </c>
      <c r="G176" s="25">
        <f t="shared" si="29"/>
        <v>37524.11</v>
      </c>
      <c r="H176" s="48">
        <f>((G176-I176)/I176)*100</f>
        <v>-91.061720989070409</v>
      </c>
      <c r="I176" s="25">
        <f>+I175+92657.1</f>
        <v>419813.58999999997</v>
      </c>
      <c r="J176" s="45"/>
    </row>
    <row r="177" spans="2:10" x14ac:dyDescent="0.35">
      <c r="B177" s="40">
        <v>13</v>
      </c>
      <c r="C177" s="38" t="s">
        <v>64</v>
      </c>
      <c r="D177" s="25">
        <v>0</v>
      </c>
      <c r="E177" s="25">
        <v>0</v>
      </c>
      <c r="F177" s="47">
        <f t="shared" si="28"/>
        <v>0</v>
      </c>
      <c r="G177" s="25">
        <f t="shared" si="29"/>
        <v>37524.11</v>
      </c>
      <c r="H177" s="48">
        <f>((G177-I177)/I177)*100</f>
        <v>-91.061720989070409</v>
      </c>
      <c r="I177" s="25">
        <v>419813.59</v>
      </c>
      <c r="J177" s="45"/>
    </row>
    <row r="178" spans="2:10" x14ac:dyDescent="0.35">
      <c r="B178" s="40">
        <v>14</v>
      </c>
      <c r="C178" s="58" t="s">
        <v>65</v>
      </c>
      <c r="D178" s="25">
        <v>0</v>
      </c>
      <c r="E178" s="25">
        <v>0</v>
      </c>
      <c r="F178" s="47">
        <f t="shared" si="28"/>
        <v>0</v>
      </c>
      <c r="G178" s="25">
        <f t="shared" si="29"/>
        <v>37524.11</v>
      </c>
      <c r="H178" s="48">
        <f>((G178-I178)/I178)*100</f>
        <v>-91.061720989070409</v>
      </c>
      <c r="I178" s="25">
        <f>+I177+0</f>
        <v>419813.59</v>
      </c>
      <c r="J178" s="45"/>
    </row>
    <row r="179" spans="2:10" x14ac:dyDescent="0.35">
      <c r="B179" s="40">
        <v>15</v>
      </c>
      <c r="C179" s="38" t="s">
        <v>66</v>
      </c>
      <c r="D179" s="25">
        <v>0</v>
      </c>
      <c r="E179" s="25">
        <v>0</v>
      </c>
      <c r="F179" s="47">
        <f t="shared" si="28"/>
        <v>0</v>
      </c>
      <c r="G179" s="25">
        <f t="shared" si="29"/>
        <v>37524.11</v>
      </c>
      <c r="H179" s="48">
        <f>((G179-I179)/I179)*100</f>
        <v>-91.061720989070409</v>
      </c>
      <c r="I179" s="25">
        <f>+I178+0</f>
        <v>419813.59</v>
      </c>
      <c r="J179" s="45"/>
    </row>
    <row r="180" spans="2:10" x14ac:dyDescent="0.35">
      <c r="B180" s="40">
        <v>16</v>
      </c>
      <c r="C180" s="38" t="s">
        <v>67</v>
      </c>
      <c r="D180" s="25">
        <v>0</v>
      </c>
      <c r="E180" s="25">
        <v>0</v>
      </c>
      <c r="F180" s="47">
        <f t="shared" si="28"/>
        <v>0</v>
      </c>
      <c r="G180" s="25">
        <f t="shared" si="29"/>
        <v>37524.11</v>
      </c>
      <c r="H180" s="48">
        <f t="shared" ref="H180:H192" si="30">((G180-I180)/I180)*100</f>
        <v>-91.061720989070409</v>
      </c>
      <c r="I180" s="25">
        <v>419813.59</v>
      </c>
      <c r="J180" s="45"/>
    </row>
    <row r="181" spans="2:10" x14ac:dyDescent="0.35">
      <c r="B181" s="40">
        <v>17</v>
      </c>
      <c r="C181" s="38" t="s">
        <v>68</v>
      </c>
      <c r="D181" s="25">
        <v>0</v>
      </c>
      <c r="E181" s="25">
        <v>0</v>
      </c>
      <c r="F181" s="47">
        <f t="shared" si="28"/>
        <v>0</v>
      </c>
      <c r="G181" s="25">
        <f t="shared" si="29"/>
        <v>37524.11</v>
      </c>
      <c r="H181" s="48">
        <f t="shared" si="30"/>
        <v>-91.061720989070409</v>
      </c>
      <c r="I181" s="25">
        <v>419813.59</v>
      </c>
      <c r="J181" s="45"/>
    </row>
    <row r="182" spans="2:10" x14ac:dyDescent="0.35">
      <c r="B182" s="40">
        <v>18</v>
      </c>
      <c r="C182" s="38" t="s">
        <v>69</v>
      </c>
      <c r="D182" s="25">
        <v>0</v>
      </c>
      <c r="E182" s="25">
        <v>0</v>
      </c>
      <c r="F182" s="47">
        <f t="shared" si="28"/>
        <v>0</v>
      </c>
      <c r="G182" s="25">
        <f t="shared" si="29"/>
        <v>37524.11</v>
      </c>
      <c r="H182" s="48">
        <f t="shared" si="30"/>
        <v>-91.061720989070409</v>
      </c>
      <c r="I182" s="25">
        <f>+I181+0</f>
        <v>419813.59</v>
      </c>
      <c r="J182" s="45"/>
    </row>
    <row r="183" spans="2:10" x14ac:dyDescent="0.35">
      <c r="B183" s="40">
        <v>19</v>
      </c>
      <c r="C183" s="38" t="s">
        <v>70</v>
      </c>
      <c r="D183" s="25">
        <v>0</v>
      </c>
      <c r="E183" s="25">
        <v>0</v>
      </c>
      <c r="F183" s="47">
        <f t="shared" si="28"/>
        <v>0</v>
      </c>
      <c r="G183" s="25">
        <f t="shared" si="29"/>
        <v>37524.11</v>
      </c>
      <c r="H183" s="48">
        <f t="shared" si="30"/>
        <v>-91.061720989070409</v>
      </c>
      <c r="I183" s="25">
        <f>+I182+0</f>
        <v>419813.59</v>
      </c>
      <c r="J183" s="45"/>
    </row>
    <row r="184" spans="2:10" x14ac:dyDescent="0.35">
      <c r="B184" s="40">
        <v>20</v>
      </c>
      <c r="C184" s="38" t="s">
        <v>85</v>
      </c>
      <c r="D184" s="25">
        <v>0</v>
      </c>
      <c r="E184" s="25">
        <v>0</v>
      </c>
      <c r="F184" s="47">
        <f t="shared" si="28"/>
        <v>0</v>
      </c>
      <c r="G184" s="25">
        <f t="shared" si="29"/>
        <v>37524.11</v>
      </c>
      <c r="H184" s="48">
        <f t="shared" si="30"/>
        <v>-91.173136039090267</v>
      </c>
      <c r="I184" s="25">
        <f>+I183+5299</f>
        <v>425112.59</v>
      </c>
      <c r="J184" s="45"/>
    </row>
    <row r="185" spans="2:10" x14ac:dyDescent="0.35">
      <c r="B185" s="40">
        <v>21</v>
      </c>
      <c r="C185" s="38" t="s">
        <v>72</v>
      </c>
      <c r="D185" s="25">
        <v>0</v>
      </c>
      <c r="E185" s="25">
        <v>0</v>
      </c>
      <c r="F185" s="47">
        <f t="shared" si="28"/>
        <v>0</v>
      </c>
      <c r="G185" s="25">
        <f t="shared" si="29"/>
        <v>37524.11</v>
      </c>
      <c r="H185" s="48">
        <f t="shared" si="30"/>
        <v>-91.173136039090267</v>
      </c>
      <c r="I185" s="25">
        <f t="shared" ref="I185:I189" si="31">+I184+0</f>
        <v>425112.59</v>
      </c>
      <c r="J185" s="45"/>
    </row>
    <row r="186" spans="2:10" x14ac:dyDescent="0.35">
      <c r="B186" s="40">
        <v>22</v>
      </c>
      <c r="C186" s="38" t="s">
        <v>73</v>
      </c>
      <c r="D186" s="25">
        <v>0</v>
      </c>
      <c r="E186" s="25">
        <v>0</v>
      </c>
      <c r="F186" s="47">
        <f t="shared" si="28"/>
        <v>0</v>
      </c>
      <c r="G186" s="25">
        <f t="shared" si="29"/>
        <v>37524.11</v>
      </c>
      <c r="H186" s="48">
        <f t="shared" si="30"/>
        <v>-91.173136039090267</v>
      </c>
      <c r="I186" s="25">
        <f t="shared" si="31"/>
        <v>425112.59</v>
      </c>
      <c r="J186" s="45"/>
    </row>
    <row r="187" spans="2:10" x14ac:dyDescent="0.35">
      <c r="B187" s="40">
        <v>23</v>
      </c>
      <c r="C187" s="38" t="s">
        <v>80</v>
      </c>
      <c r="D187" s="25">
        <v>0</v>
      </c>
      <c r="E187" s="25">
        <v>0</v>
      </c>
      <c r="F187" s="47">
        <f t="shared" si="28"/>
        <v>0</v>
      </c>
      <c r="G187" s="25">
        <f t="shared" si="29"/>
        <v>37524.11</v>
      </c>
      <c r="H187" s="48">
        <f t="shared" si="30"/>
        <v>-91.173136039090267</v>
      </c>
      <c r="I187" s="25">
        <f t="shared" si="31"/>
        <v>425112.59</v>
      </c>
      <c r="J187" s="45"/>
    </row>
    <row r="188" spans="2:10" x14ac:dyDescent="0.35">
      <c r="B188" s="40">
        <v>24</v>
      </c>
      <c r="C188" s="38" t="s">
        <v>75</v>
      </c>
      <c r="D188" s="25">
        <v>0</v>
      </c>
      <c r="E188" s="25">
        <v>0</v>
      </c>
      <c r="F188" s="47">
        <f t="shared" si="28"/>
        <v>0</v>
      </c>
      <c r="G188" s="25">
        <f t="shared" si="29"/>
        <v>37524.11</v>
      </c>
      <c r="H188" s="48">
        <f t="shared" si="30"/>
        <v>-91.173136039090267</v>
      </c>
      <c r="I188" s="25">
        <f t="shared" si="31"/>
        <v>425112.59</v>
      </c>
      <c r="J188" s="45"/>
    </row>
    <row r="189" spans="2:10" x14ac:dyDescent="0.35">
      <c r="B189" s="40">
        <v>25</v>
      </c>
      <c r="C189" s="77" t="s">
        <v>76</v>
      </c>
      <c r="D189" s="25">
        <v>0</v>
      </c>
      <c r="E189" s="25">
        <v>0</v>
      </c>
      <c r="F189" s="47">
        <f t="shared" si="28"/>
        <v>0</v>
      </c>
      <c r="G189" s="25">
        <f t="shared" si="29"/>
        <v>37524.11</v>
      </c>
      <c r="H189" s="48">
        <f t="shared" si="30"/>
        <v>-91.173136039090267</v>
      </c>
      <c r="I189" s="25">
        <f t="shared" si="31"/>
        <v>425112.59</v>
      </c>
      <c r="J189" s="45"/>
    </row>
    <row r="190" spans="2:10" x14ac:dyDescent="0.35">
      <c r="B190" s="111">
        <v>26</v>
      </c>
      <c r="C190" s="112" t="s">
        <v>77</v>
      </c>
      <c r="D190" s="105">
        <v>0</v>
      </c>
      <c r="E190" s="106">
        <v>0</v>
      </c>
      <c r="F190" s="107">
        <f t="shared" si="28"/>
        <v>0</v>
      </c>
      <c r="G190" s="106">
        <f t="shared" si="29"/>
        <v>37524.11</v>
      </c>
      <c r="H190" s="48">
        <f t="shared" si="30"/>
        <v>-91.173136039090267</v>
      </c>
      <c r="I190" s="25">
        <f>+I189+0</f>
        <v>425112.59</v>
      </c>
      <c r="J190" s="45"/>
    </row>
    <row r="191" spans="2:10" x14ac:dyDescent="0.35">
      <c r="B191" s="111">
        <v>27</v>
      </c>
      <c r="C191" s="77" t="s">
        <v>81</v>
      </c>
      <c r="D191" s="119">
        <v>0</v>
      </c>
      <c r="E191" s="120">
        <v>0</v>
      </c>
      <c r="F191" s="121">
        <f t="shared" si="28"/>
        <v>0</v>
      </c>
      <c r="G191" s="120">
        <f t="shared" si="29"/>
        <v>37524.11</v>
      </c>
      <c r="H191" s="48">
        <f t="shared" si="30"/>
        <v>-91.173136039090267</v>
      </c>
      <c r="I191" s="25">
        <f>+I190+0</f>
        <v>425112.59</v>
      </c>
      <c r="J191" s="45"/>
    </row>
    <row r="192" spans="2:10" x14ac:dyDescent="0.35">
      <c r="B192" s="110">
        <v>28</v>
      </c>
      <c r="C192" s="77" t="s">
        <v>87</v>
      </c>
      <c r="D192" s="108">
        <v>0</v>
      </c>
      <c r="E192" s="108">
        <v>0</v>
      </c>
      <c r="F192" s="109">
        <f t="shared" si="28"/>
        <v>0</v>
      </c>
      <c r="G192" s="109">
        <f t="shared" si="29"/>
        <v>37524.11</v>
      </c>
      <c r="H192" s="48">
        <f t="shared" si="30"/>
        <v>-91.173136039090267</v>
      </c>
      <c r="I192" s="25">
        <f>+I191+0</f>
        <v>425112.59</v>
      </c>
      <c r="J192" s="45"/>
    </row>
    <row r="193" spans="2:10" hidden="1" x14ac:dyDescent="0.35">
      <c r="B193" s="40">
        <v>29</v>
      </c>
      <c r="C193" s="17" t="s">
        <v>32</v>
      </c>
      <c r="D193" s="25"/>
      <c r="E193" s="25"/>
      <c r="F193" s="47">
        <f t="shared" ref="F193:F206" si="32">+E193+D193</f>
        <v>0</v>
      </c>
      <c r="G193" s="25">
        <f t="shared" ref="G193:G194" si="33">+G192+F193</f>
        <v>37524.11</v>
      </c>
      <c r="H193" s="48">
        <v>0</v>
      </c>
      <c r="I193" s="25">
        <v>0</v>
      </c>
      <c r="J193" s="45"/>
    </row>
    <row r="194" spans="2:10" hidden="1" x14ac:dyDescent="0.35">
      <c r="B194" s="40">
        <v>30</v>
      </c>
      <c r="C194" s="27" t="s">
        <v>33</v>
      </c>
      <c r="D194" s="31"/>
      <c r="E194" s="31"/>
      <c r="F194" s="55">
        <f t="shared" si="32"/>
        <v>0</v>
      </c>
      <c r="G194" s="31">
        <f t="shared" si="33"/>
        <v>37524.11</v>
      </c>
      <c r="H194" s="56">
        <v>0</v>
      </c>
      <c r="I194" s="31">
        <v>0</v>
      </c>
      <c r="J194" s="45"/>
    </row>
    <row r="195" spans="2:10" hidden="1" x14ac:dyDescent="0.35">
      <c r="B195" s="40">
        <v>31</v>
      </c>
      <c r="C195" s="16" t="s">
        <v>29</v>
      </c>
      <c r="D195" s="25"/>
      <c r="E195" s="25"/>
      <c r="F195" s="47">
        <f t="shared" si="32"/>
        <v>0</v>
      </c>
      <c r="G195" s="25">
        <f>+G187+F195</f>
        <v>37524.11</v>
      </c>
      <c r="H195" s="48">
        <v>0</v>
      </c>
      <c r="I195" s="25">
        <v>0</v>
      </c>
      <c r="J195" s="45"/>
    </row>
    <row r="196" spans="2:10" hidden="1" x14ac:dyDescent="0.35">
      <c r="B196" s="40">
        <v>32</v>
      </c>
      <c r="C196" s="16" t="s">
        <v>27</v>
      </c>
      <c r="D196" s="25"/>
      <c r="E196" s="25"/>
      <c r="F196" s="47">
        <f t="shared" si="32"/>
        <v>0</v>
      </c>
      <c r="G196" s="25">
        <f t="shared" ref="G196:G201" si="34">+G195+F196</f>
        <v>37524.11</v>
      </c>
      <c r="H196" s="48">
        <v>0</v>
      </c>
      <c r="I196" s="25">
        <v>0</v>
      </c>
      <c r="J196" s="45"/>
    </row>
    <row r="197" spans="2:10" hidden="1" x14ac:dyDescent="0.35">
      <c r="B197" s="40">
        <v>33</v>
      </c>
      <c r="C197" s="16" t="s">
        <v>28</v>
      </c>
      <c r="D197" s="25"/>
      <c r="E197" s="25"/>
      <c r="F197" s="47">
        <f t="shared" si="32"/>
        <v>0</v>
      </c>
      <c r="G197" s="25">
        <f t="shared" si="34"/>
        <v>37524.11</v>
      </c>
      <c r="H197" s="48">
        <v>0</v>
      </c>
      <c r="I197" s="25">
        <v>0</v>
      </c>
      <c r="J197" s="45"/>
    </row>
    <row r="198" spans="2:10" hidden="1" x14ac:dyDescent="0.35">
      <c r="B198" s="40">
        <v>34</v>
      </c>
      <c r="C198" s="16" t="s">
        <v>29</v>
      </c>
      <c r="D198" s="25"/>
      <c r="E198" s="25"/>
      <c r="F198" s="47">
        <f t="shared" si="32"/>
        <v>0</v>
      </c>
      <c r="G198" s="25">
        <f t="shared" si="34"/>
        <v>37524.11</v>
      </c>
      <c r="H198" s="48">
        <v>0</v>
      </c>
      <c r="I198" s="25">
        <v>0</v>
      </c>
      <c r="J198" s="45"/>
    </row>
    <row r="199" spans="2:10" hidden="1" x14ac:dyDescent="0.35">
      <c r="B199" s="40">
        <v>35</v>
      </c>
      <c r="C199" s="16" t="s">
        <v>30</v>
      </c>
      <c r="D199" s="25"/>
      <c r="E199" s="25"/>
      <c r="F199" s="47">
        <f t="shared" si="32"/>
        <v>0</v>
      </c>
      <c r="G199" s="25">
        <f t="shared" si="34"/>
        <v>37524.11</v>
      </c>
      <c r="H199" s="48">
        <v>0</v>
      </c>
      <c r="I199" s="25">
        <v>0</v>
      </c>
      <c r="J199" s="45"/>
    </row>
    <row r="200" spans="2:10" hidden="1" x14ac:dyDescent="0.35">
      <c r="B200" s="40">
        <v>36</v>
      </c>
      <c r="C200" s="16" t="s">
        <v>31</v>
      </c>
      <c r="D200" s="25"/>
      <c r="E200" s="25"/>
      <c r="F200" s="47">
        <f t="shared" si="32"/>
        <v>0</v>
      </c>
      <c r="G200" s="25">
        <f t="shared" si="34"/>
        <v>37524.11</v>
      </c>
      <c r="H200" s="48">
        <v>0</v>
      </c>
      <c r="I200" s="25">
        <v>0</v>
      </c>
      <c r="J200" s="45"/>
    </row>
    <row r="201" spans="2:10" hidden="1" x14ac:dyDescent="0.35">
      <c r="B201" s="40">
        <v>37</v>
      </c>
      <c r="C201" s="17" t="s">
        <v>32</v>
      </c>
      <c r="D201" s="25"/>
      <c r="E201" s="25"/>
      <c r="F201" s="47">
        <f t="shared" si="32"/>
        <v>0</v>
      </c>
      <c r="G201" s="25">
        <f t="shared" si="34"/>
        <v>37524.11</v>
      </c>
      <c r="H201" s="48">
        <v>0</v>
      </c>
      <c r="I201" s="25">
        <v>0</v>
      </c>
      <c r="J201" s="45"/>
    </row>
    <row r="202" spans="2:10" hidden="1" x14ac:dyDescent="0.35">
      <c r="B202" s="40">
        <v>38</v>
      </c>
      <c r="C202" s="16" t="s">
        <v>29</v>
      </c>
      <c r="D202" s="25"/>
      <c r="E202" s="25"/>
      <c r="F202" s="47">
        <f t="shared" si="32"/>
        <v>0</v>
      </c>
      <c r="G202" s="25">
        <f>+G185+F202</f>
        <v>37524.11</v>
      </c>
      <c r="H202" s="48">
        <v>0</v>
      </c>
      <c r="I202" s="25">
        <v>0</v>
      </c>
      <c r="J202" s="45"/>
    </row>
    <row r="203" spans="2:10" hidden="1" x14ac:dyDescent="0.35">
      <c r="B203" s="40">
        <v>39</v>
      </c>
      <c r="C203" s="16" t="s">
        <v>30</v>
      </c>
      <c r="D203" s="25"/>
      <c r="E203" s="25"/>
      <c r="F203" s="47">
        <f t="shared" si="32"/>
        <v>0</v>
      </c>
      <c r="G203" s="25">
        <f t="shared" ref="G203:G206" si="35">+G202+F203</f>
        <v>37524.11</v>
      </c>
      <c r="H203" s="48">
        <v>0</v>
      </c>
      <c r="I203" s="25">
        <v>0</v>
      </c>
      <c r="J203" s="45"/>
    </row>
    <row r="204" spans="2:10" hidden="1" x14ac:dyDescent="0.35">
      <c r="B204" s="40">
        <v>40</v>
      </c>
      <c r="C204" s="16" t="s">
        <v>31</v>
      </c>
      <c r="D204" s="25"/>
      <c r="E204" s="25"/>
      <c r="F204" s="47">
        <f t="shared" si="32"/>
        <v>0</v>
      </c>
      <c r="G204" s="25">
        <f t="shared" si="35"/>
        <v>37524.11</v>
      </c>
      <c r="H204" s="48">
        <v>0</v>
      </c>
      <c r="I204" s="25">
        <v>0</v>
      </c>
      <c r="J204" s="45"/>
    </row>
    <row r="205" spans="2:10" hidden="1" x14ac:dyDescent="0.35">
      <c r="B205" s="40">
        <v>41</v>
      </c>
      <c r="C205" s="17" t="s">
        <v>32</v>
      </c>
      <c r="D205" s="25"/>
      <c r="E205" s="25"/>
      <c r="F205" s="47">
        <f t="shared" si="32"/>
        <v>0</v>
      </c>
      <c r="G205" s="25">
        <f t="shared" si="35"/>
        <v>37524.11</v>
      </c>
      <c r="H205" s="48">
        <v>0</v>
      </c>
      <c r="I205" s="25">
        <v>0</v>
      </c>
      <c r="J205" s="45"/>
    </row>
    <row r="206" spans="2:10" hidden="1" x14ac:dyDescent="0.35">
      <c r="B206" s="40">
        <v>42</v>
      </c>
      <c r="C206" s="27" t="s">
        <v>33</v>
      </c>
      <c r="D206" s="31"/>
      <c r="E206" s="31"/>
      <c r="F206" s="55">
        <f t="shared" si="32"/>
        <v>0</v>
      </c>
      <c r="G206" s="31">
        <f t="shared" si="35"/>
        <v>37524.11</v>
      </c>
      <c r="H206" s="56">
        <v>0</v>
      </c>
      <c r="I206" s="31">
        <v>0</v>
      </c>
      <c r="J206" s="45"/>
    </row>
    <row r="207" spans="2:10" x14ac:dyDescent="0.35">
      <c r="B207" s="5"/>
      <c r="C207" s="5"/>
      <c r="D207" s="6"/>
      <c r="E207" s="6"/>
      <c r="F207" s="6"/>
      <c r="G207" s="6"/>
      <c r="H207" s="6"/>
      <c r="I207" s="6"/>
      <c r="J207" s="6"/>
    </row>
    <row r="208" spans="2:10" x14ac:dyDescent="0.35">
      <c r="B208" s="8" t="s">
        <v>34</v>
      </c>
      <c r="C208" s="5"/>
      <c r="D208" s="6"/>
      <c r="E208" s="6"/>
      <c r="F208" s="6"/>
      <c r="G208" s="6"/>
      <c r="H208" s="6"/>
      <c r="I208" s="6"/>
      <c r="J208" s="6"/>
    </row>
    <row r="209" spans="2:10" x14ac:dyDescent="0.35">
      <c r="B209" s="9" t="s">
        <v>35</v>
      </c>
      <c r="C209" s="5"/>
      <c r="D209" s="6"/>
      <c r="E209" s="6"/>
      <c r="F209" s="6"/>
      <c r="G209" s="6"/>
      <c r="H209" s="6"/>
      <c r="I209" s="6"/>
      <c r="J209" s="6"/>
    </row>
    <row r="210" spans="2:10" x14ac:dyDescent="0.35">
      <c r="B210" s="9" t="s">
        <v>36</v>
      </c>
      <c r="C210" s="5"/>
      <c r="D210" s="6"/>
      <c r="E210" s="6"/>
      <c r="F210" s="6"/>
      <c r="G210" s="6"/>
      <c r="H210" s="6"/>
      <c r="I210" s="6"/>
      <c r="J210" s="6"/>
    </row>
    <row r="211" spans="2:10" x14ac:dyDescent="0.35">
      <c r="B211" s="9" t="s">
        <v>37</v>
      </c>
      <c r="C211" s="5"/>
      <c r="D211" s="6"/>
      <c r="E211" s="6"/>
      <c r="F211" s="6"/>
      <c r="G211" s="6"/>
      <c r="H211" s="6"/>
      <c r="I211" s="6"/>
      <c r="J211" s="6"/>
    </row>
  </sheetData>
  <mergeCells count="43">
    <mergeCell ref="D3:I3"/>
    <mergeCell ref="D5:G5"/>
    <mergeCell ref="H5:I6"/>
    <mergeCell ref="D6:G6"/>
    <mergeCell ref="B4:L4"/>
    <mergeCell ref="B7:B8"/>
    <mergeCell ref="C7:C8"/>
    <mergeCell ref="H7:H8"/>
    <mergeCell ref="I7:I8"/>
    <mergeCell ref="D8:G8"/>
    <mergeCell ref="H58:I59"/>
    <mergeCell ref="D59:G59"/>
    <mergeCell ref="D55:I55"/>
    <mergeCell ref="D58:G58"/>
    <mergeCell ref="D56:I56"/>
    <mergeCell ref="B57:J57"/>
    <mergeCell ref="H111:I112"/>
    <mergeCell ref="D112:G112"/>
    <mergeCell ref="D108:I108"/>
    <mergeCell ref="D111:G111"/>
    <mergeCell ref="D109:I109"/>
    <mergeCell ref="B110:J110"/>
    <mergeCell ref="H164:I165"/>
    <mergeCell ref="D165:G165"/>
    <mergeCell ref="D161:I161"/>
    <mergeCell ref="D164:G164"/>
    <mergeCell ref="D162:I162"/>
    <mergeCell ref="B163:J163"/>
    <mergeCell ref="B60:B61"/>
    <mergeCell ref="C60:C61"/>
    <mergeCell ref="H60:H61"/>
    <mergeCell ref="I60:I61"/>
    <mergeCell ref="D61:G61"/>
    <mergeCell ref="B113:B114"/>
    <mergeCell ref="C113:C114"/>
    <mergeCell ref="H113:H114"/>
    <mergeCell ref="I113:I114"/>
    <mergeCell ref="D114:G114"/>
    <mergeCell ref="B166:B167"/>
    <mergeCell ref="C166:C167"/>
    <mergeCell ref="H166:H167"/>
    <mergeCell ref="I166:I167"/>
    <mergeCell ref="D167:G16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Chantelle Kotze</cp:lastModifiedBy>
  <cp:revision/>
  <dcterms:created xsi:type="dcterms:W3CDTF">2026-02-11T09:02:17Z</dcterms:created>
  <dcterms:modified xsi:type="dcterms:W3CDTF">2026-07-16T10:36:49Z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